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activeTab="2"/>
  </bookViews>
  <sheets>
    <sheet name="Budžeta_tāme" sheetId="13" r:id="rId1"/>
    <sheet name="Naudas_plūsma" sheetId="5" r:id="rId2"/>
    <sheet name="Naturālie_rādītāji" sheetId="14" r:id="rId3"/>
    <sheet name="PZ_aprēķins" sheetId="15" r:id="rId4"/>
    <sheet name="Bilance" sheetId="16" r:id="rId5"/>
    <sheet name="Ieguldījumu_tāme" sheetId="19" r:id="rId6"/>
  </sheets>
  <externalReferences>
    <externalReference r:id="rId7"/>
  </externalReferences>
  <definedNames>
    <definedName name="dff">#NAME?</definedName>
    <definedName name="hh">#REF!</definedName>
    <definedName name="izm.kods">#REF!</definedName>
    <definedName name="izm.kods_1">[1]izm.posteni!$A$2:$A$216</definedName>
    <definedName name="izm.nos">#REF!</definedName>
    <definedName name="izm.nos_1">[1]izm.posteni!$B$2:$B$216</definedName>
    <definedName name="_xlnm.Print_Area" localSheetId="0">Budžeta_tāme!$A$1:$K$193</definedName>
    <definedName name="_xlnm.Print_Area" localSheetId="1">Naudas_plūsma!$A$1:$H$140</definedName>
    <definedName name="_xlnm.Print_Titles" localSheetId="1">Naudas_plūsma!$1:$2</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3" l="1"/>
  <c r="H60" i="14" l="1"/>
  <c r="I13" i="14" l="1"/>
  <c r="I9" i="14" l="1"/>
  <c r="I10" i="14"/>
  <c r="I7" i="14"/>
  <c r="I6" i="14"/>
  <c r="I11" i="14" l="1"/>
  <c r="H71" i="19"/>
  <c r="G71" i="19"/>
  <c r="F71" i="19"/>
  <c r="E71" i="19"/>
  <c r="D71" i="19"/>
  <c r="C71" i="19"/>
  <c r="H68" i="19"/>
  <c r="G68" i="19"/>
  <c r="F68" i="19"/>
  <c r="E68" i="19"/>
  <c r="D68" i="19"/>
  <c r="C68" i="19"/>
  <c r="H65" i="19"/>
  <c r="G65" i="19"/>
  <c r="F65" i="19"/>
  <c r="E65" i="19"/>
  <c r="D65" i="19"/>
  <c r="C65" i="19"/>
  <c r="H62" i="19"/>
  <c r="G62" i="19"/>
  <c r="F62" i="19"/>
  <c r="E62" i="19"/>
  <c r="D62" i="19"/>
  <c r="C62" i="19"/>
  <c r="H59" i="19"/>
  <c r="G59" i="19"/>
  <c r="F59" i="19"/>
  <c r="E59" i="19"/>
  <c r="D59" i="19"/>
  <c r="C59" i="19"/>
  <c r="H56" i="19"/>
  <c r="G56" i="19"/>
  <c r="F56" i="19"/>
  <c r="E56" i="19"/>
  <c r="D56" i="19"/>
  <c r="C56" i="19"/>
  <c r="H26" i="19"/>
  <c r="G26" i="19"/>
  <c r="F26" i="19"/>
  <c r="E26" i="19"/>
  <c r="D26" i="19"/>
  <c r="C26" i="19"/>
  <c r="H16" i="19"/>
  <c r="G16" i="19"/>
  <c r="F16" i="19"/>
  <c r="E16" i="19"/>
  <c r="D16" i="19"/>
  <c r="C16" i="19"/>
  <c r="H13" i="19"/>
  <c r="G13" i="19"/>
  <c r="F13" i="19"/>
  <c r="E13" i="19"/>
  <c r="D13" i="19"/>
  <c r="C13" i="19"/>
  <c r="H10" i="19"/>
  <c r="G10" i="19"/>
  <c r="F10" i="19"/>
  <c r="E10" i="19"/>
  <c r="D10" i="19"/>
  <c r="C10" i="19"/>
  <c r="H7" i="19"/>
  <c r="G7" i="19"/>
  <c r="F7" i="19"/>
  <c r="E7" i="19"/>
  <c r="D7" i="19"/>
  <c r="C7" i="19"/>
  <c r="H4" i="19"/>
  <c r="G4" i="19"/>
  <c r="F4" i="19"/>
  <c r="E4" i="19"/>
  <c r="D4" i="19"/>
  <c r="C4" i="19"/>
  <c r="D3" i="19" l="1"/>
  <c r="E25" i="19"/>
  <c r="E24" i="19" s="1"/>
  <c r="F3" i="19"/>
  <c r="D25" i="19"/>
  <c r="D24" i="19" s="1"/>
  <c r="H25" i="19"/>
  <c r="H24" i="19" s="1"/>
  <c r="F25" i="19"/>
  <c r="F24" i="19" s="1"/>
  <c r="C25" i="19"/>
  <c r="C24" i="19" s="1"/>
  <c r="G25" i="19"/>
  <c r="G24" i="19" s="1"/>
  <c r="E3" i="19"/>
  <c r="C3" i="19"/>
  <c r="G3" i="19"/>
  <c r="H3" i="19"/>
  <c r="H47" i="16"/>
  <c r="G47" i="16"/>
  <c r="F47" i="16"/>
  <c r="F42" i="16" s="1"/>
  <c r="E47" i="16"/>
  <c r="E42" i="16" s="1"/>
  <c r="D47" i="16"/>
  <c r="C47" i="16"/>
  <c r="H43" i="16"/>
  <c r="G43" i="16"/>
  <c r="F43" i="16"/>
  <c r="E43" i="16"/>
  <c r="D43" i="16"/>
  <c r="D42" i="16" s="1"/>
  <c r="C43" i="16"/>
  <c r="C42" i="16" s="1"/>
  <c r="H39" i="16"/>
  <c r="G39" i="16"/>
  <c r="F39" i="16"/>
  <c r="E39" i="16"/>
  <c r="D39" i="16"/>
  <c r="C39" i="16"/>
  <c r="H32" i="16"/>
  <c r="G32" i="16"/>
  <c r="F32" i="16"/>
  <c r="E32" i="16"/>
  <c r="D32" i="16"/>
  <c r="C32" i="16"/>
  <c r="H29" i="16"/>
  <c r="G29" i="16"/>
  <c r="F29" i="16"/>
  <c r="E29" i="16"/>
  <c r="D29" i="16"/>
  <c r="C29" i="16"/>
  <c r="F28" i="16"/>
  <c r="C28" i="16"/>
  <c r="H17" i="16"/>
  <c r="H58" i="16" s="1"/>
  <c r="G17" i="16"/>
  <c r="G58" i="16" s="1"/>
  <c r="F17" i="16"/>
  <c r="F58" i="16" s="1"/>
  <c r="E17" i="16"/>
  <c r="E58" i="16" s="1"/>
  <c r="D17" i="16"/>
  <c r="D58" i="16" s="1"/>
  <c r="C17" i="16"/>
  <c r="C58" i="16" s="1"/>
  <c r="H11" i="16"/>
  <c r="H10" i="16" s="1"/>
  <c r="G11" i="16"/>
  <c r="G57" i="16" s="1"/>
  <c r="F11" i="16"/>
  <c r="F57" i="16" s="1"/>
  <c r="E11" i="16"/>
  <c r="E57" i="16" s="1"/>
  <c r="D11" i="16"/>
  <c r="D10" i="16" s="1"/>
  <c r="C11" i="16"/>
  <c r="C57" i="16" s="1"/>
  <c r="C56" i="16" s="1"/>
  <c r="H6" i="16"/>
  <c r="H3" i="16" s="1"/>
  <c r="G6" i="16"/>
  <c r="F6" i="16"/>
  <c r="E6" i="16"/>
  <c r="D6" i="16"/>
  <c r="D3" i="16" s="1"/>
  <c r="C6" i="16"/>
  <c r="G3" i="16"/>
  <c r="F3" i="16"/>
  <c r="E3" i="16"/>
  <c r="C3" i="16"/>
  <c r="D15" i="15"/>
  <c r="D22" i="15" s="1"/>
  <c r="H5" i="15"/>
  <c r="H15" i="15" s="1"/>
  <c r="H22" i="15" s="1"/>
  <c r="G5" i="15"/>
  <c r="G15" i="15" s="1"/>
  <c r="G22" i="15" s="1"/>
  <c r="F5" i="15"/>
  <c r="F15" i="15" s="1"/>
  <c r="F22" i="15" s="1"/>
  <c r="E5" i="15"/>
  <c r="E15" i="15" s="1"/>
  <c r="E22" i="15" s="1"/>
  <c r="D5" i="15"/>
  <c r="C5" i="15"/>
  <c r="C15" i="15" s="1"/>
  <c r="C22" i="15" s="1"/>
  <c r="C10" i="16" l="1"/>
  <c r="C26" i="16" s="1"/>
  <c r="D26" i="16"/>
  <c r="H26" i="16"/>
  <c r="F10" i="16"/>
  <c r="F26" i="16" s="1"/>
  <c r="G28" i="16"/>
  <c r="G10" i="16"/>
  <c r="G26" i="16" s="1"/>
  <c r="D28" i="16"/>
  <c r="H28" i="16"/>
  <c r="H54" i="16" s="1"/>
  <c r="D74" i="19"/>
  <c r="C74" i="19"/>
  <c r="E74" i="19"/>
  <c r="F74" i="19"/>
  <c r="G74" i="19"/>
  <c r="H74" i="19"/>
  <c r="H42" i="16"/>
  <c r="G42" i="16"/>
  <c r="E10" i="16"/>
  <c r="E26" i="16" s="1"/>
  <c r="E56" i="16"/>
  <c r="E28" i="16"/>
  <c r="E54" i="16" s="1"/>
  <c r="G54" i="16"/>
  <c r="C54" i="16"/>
  <c r="F54" i="16"/>
  <c r="D54" i="16"/>
  <c r="G56" i="16"/>
  <c r="F56" i="16"/>
  <c r="D57" i="16"/>
  <c r="D56" i="16" s="1"/>
  <c r="H57" i="16"/>
  <c r="H56" i="16" s="1"/>
  <c r="G126" i="13"/>
  <c r="I91" i="14" l="1"/>
  <c r="J91" i="14" s="1"/>
  <c r="I89" i="14"/>
  <c r="J89" i="14" s="1"/>
  <c r="I88" i="14"/>
  <c r="J88" i="14" s="1"/>
  <c r="I87" i="14"/>
  <c r="J87" i="14" s="1"/>
  <c r="I86" i="14"/>
  <c r="J86" i="14" s="1"/>
  <c r="I85" i="14"/>
  <c r="J85" i="14" s="1"/>
  <c r="I84" i="14"/>
  <c r="J84" i="14" s="1"/>
  <c r="I82" i="14"/>
  <c r="J82" i="14" s="1"/>
  <c r="I81" i="14"/>
  <c r="J81" i="14" s="1"/>
  <c r="I80" i="14"/>
  <c r="J80" i="14" s="1"/>
  <c r="I79" i="14"/>
  <c r="J79" i="14" s="1"/>
  <c r="I77" i="14"/>
  <c r="J77" i="14" s="1"/>
  <c r="I76" i="14"/>
  <c r="J76" i="14" s="1"/>
  <c r="I75" i="14"/>
  <c r="J75" i="14" s="1"/>
  <c r="I74" i="14"/>
  <c r="J74" i="14" s="1"/>
  <c r="I73" i="14"/>
  <c r="J73" i="14" s="1"/>
  <c r="I71" i="14"/>
  <c r="J71" i="14" s="1"/>
  <c r="I70" i="14"/>
  <c r="J70" i="14" s="1"/>
  <c r="I69" i="14"/>
  <c r="J69" i="14" s="1"/>
  <c r="I68" i="14"/>
  <c r="J68" i="14" s="1"/>
  <c r="I67" i="14"/>
  <c r="J67" i="14" s="1"/>
  <c r="H66" i="14"/>
  <c r="H72" i="14" s="1"/>
  <c r="G66" i="14"/>
  <c r="G72" i="14" s="1"/>
  <c r="F66" i="14"/>
  <c r="F72" i="14" s="1"/>
  <c r="E66" i="14"/>
  <c r="E72" i="14" s="1"/>
  <c r="D66" i="14"/>
  <c r="D72" i="14" s="1"/>
  <c r="C66" i="14"/>
  <c r="C72" i="14" s="1"/>
  <c r="I65" i="14"/>
  <c r="J65" i="14" s="1"/>
  <c r="I64" i="14"/>
  <c r="J64" i="14" s="1"/>
  <c r="I63" i="14"/>
  <c r="J63" i="14" s="1"/>
  <c r="I62" i="14"/>
  <c r="J62" i="14" s="1"/>
  <c r="I61" i="14"/>
  <c r="J61" i="14" s="1"/>
  <c r="I59" i="14"/>
  <c r="J59" i="14" s="1"/>
  <c r="I58" i="14"/>
  <c r="J58" i="14" s="1"/>
  <c r="I57" i="14"/>
  <c r="J57" i="14" s="1"/>
  <c r="I56" i="14"/>
  <c r="J56" i="14" s="1"/>
  <c r="I55" i="14"/>
  <c r="J55" i="14" s="1"/>
  <c r="H54" i="14"/>
  <c r="G54" i="14"/>
  <c r="G60" i="14" s="1"/>
  <c r="F54" i="14"/>
  <c r="F60" i="14" s="1"/>
  <c r="E54" i="14"/>
  <c r="E60" i="14" s="1"/>
  <c r="D54" i="14"/>
  <c r="D60" i="14" s="1"/>
  <c r="C54" i="14"/>
  <c r="C60" i="14" s="1"/>
  <c r="I52" i="14"/>
  <c r="J52" i="14" s="1"/>
  <c r="I51" i="14"/>
  <c r="J51" i="14" s="1"/>
  <c r="I50" i="14"/>
  <c r="J50" i="14" s="1"/>
  <c r="I49" i="14"/>
  <c r="J49" i="14" s="1"/>
  <c r="I48" i="14"/>
  <c r="J48" i="14" s="1"/>
  <c r="I46" i="14"/>
  <c r="J46" i="14" s="1"/>
  <c r="I45" i="14"/>
  <c r="J45" i="14" s="1"/>
  <c r="I44" i="14"/>
  <c r="J44" i="14" s="1"/>
  <c r="I43" i="14"/>
  <c r="J43" i="14" s="1"/>
  <c r="I42" i="14"/>
  <c r="J42" i="14" s="1"/>
  <c r="I40" i="14"/>
  <c r="J40" i="14" s="1"/>
  <c r="I39" i="14"/>
  <c r="J39" i="14" s="1"/>
  <c r="I38" i="14"/>
  <c r="J38" i="14" s="1"/>
  <c r="I37" i="14"/>
  <c r="J37" i="14" s="1"/>
  <c r="I36" i="14"/>
  <c r="J36" i="14" s="1"/>
  <c r="I35" i="14"/>
  <c r="J35" i="14" s="1"/>
  <c r="I34" i="14"/>
  <c r="J34" i="14" s="1"/>
  <c r="I33" i="14"/>
  <c r="J33" i="14" s="1"/>
  <c r="H32" i="14"/>
  <c r="I32" i="14" s="1"/>
  <c r="J32" i="14" s="1"/>
  <c r="G32" i="14"/>
  <c r="F32" i="14"/>
  <c r="E32" i="14"/>
  <c r="D32" i="14"/>
  <c r="C32" i="14"/>
  <c r="I30" i="14"/>
  <c r="J30" i="14" s="1"/>
  <c r="I29" i="14"/>
  <c r="J29" i="14" s="1"/>
  <c r="I28" i="14"/>
  <c r="J28" i="14" s="1"/>
  <c r="I27" i="14"/>
  <c r="J27" i="14" s="1"/>
  <c r="I26" i="14"/>
  <c r="J26" i="14" s="1"/>
  <c r="I25" i="14"/>
  <c r="J25" i="14" s="1"/>
  <c r="I24" i="14"/>
  <c r="J24" i="14" s="1"/>
  <c r="I23" i="14"/>
  <c r="J23" i="14" s="1"/>
  <c r="I22" i="14"/>
  <c r="J22" i="14" s="1"/>
  <c r="I21" i="14"/>
  <c r="J21" i="14" s="1"/>
  <c r="I20" i="14"/>
  <c r="J20" i="14" s="1"/>
  <c r="I19" i="14"/>
  <c r="J19" i="14" s="1"/>
  <c r="I18" i="14"/>
  <c r="J18" i="14" s="1"/>
  <c r="I17" i="14"/>
  <c r="J17" i="14" s="1"/>
  <c r="I16" i="14"/>
  <c r="J16" i="14" s="1"/>
  <c r="J13" i="14"/>
  <c r="H11" i="14"/>
  <c r="G11" i="14"/>
  <c r="F11" i="14"/>
  <c r="E11" i="14"/>
  <c r="D11" i="14"/>
  <c r="J11" i="14" s="1"/>
  <c r="C11" i="14"/>
  <c r="J10" i="14"/>
  <c r="J9" i="14"/>
  <c r="H8" i="14"/>
  <c r="G8" i="14"/>
  <c r="F8" i="14"/>
  <c r="E8" i="14"/>
  <c r="D8" i="14"/>
  <c r="D5" i="14" s="1"/>
  <c r="C8" i="14"/>
  <c r="J7" i="14"/>
  <c r="J6" i="14"/>
  <c r="F5" i="14"/>
  <c r="F14" i="14" s="1"/>
  <c r="I8" i="14" l="1"/>
  <c r="J8" i="14" s="1"/>
  <c r="E5" i="14"/>
  <c r="E14" i="14" s="1"/>
  <c r="F12" i="14"/>
  <c r="I66" i="14"/>
  <c r="J66" i="14" s="1"/>
  <c r="I54" i="14"/>
  <c r="J54" i="14" s="1"/>
  <c r="I60" i="14"/>
  <c r="J60" i="14" s="1"/>
  <c r="D12" i="14"/>
  <c r="I72" i="14"/>
  <c r="J72" i="14" s="1"/>
  <c r="C5" i="14"/>
  <c r="C14" i="14" s="1"/>
  <c r="G5" i="14"/>
  <c r="G14" i="14" s="1"/>
  <c r="H5" i="14"/>
  <c r="I5" i="14" s="1"/>
  <c r="J5" i="14" s="1"/>
  <c r="D14" i="14"/>
  <c r="E12" i="14" l="1"/>
  <c r="G12" i="14"/>
  <c r="C12" i="14"/>
  <c r="H12" i="14"/>
  <c r="I12" i="14" s="1"/>
  <c r="J12" i="14" s="1"/>
  <c r="H14" i="14"/>
  <c r="I14" i="14" s="1"/>
  <c r="J14" i="14" s="1"/>
  <c r="H30" i="5" l="1"/>
  <c r="H39" i="5"/>
  <c r="H40" i="5"/>
  <c r="G30" i="5"/>
  <c r="G39" i="5"/>
  <c r="G40" i="5"/>
  <c r="F30" i="5"/>
  <c r="F39" i="5"/>
  <c r="F40" i="5"/>
  <c r="E39" i="5"/>
  <c r="E30" i="5"/>
  <c r="E40" i="5"/>
  <c r="I192" i="13" l="1"/>
  <c r="J192" i="13" s="1"/>
  <c r="I190" i="13"/>
  <c r="J190" i="13" s="1"/>
  <c r="I189" i="13"/>
  <c r="J189" i="13" s="1"/>
  <c r="G189" i="13"/>
  <c r="G183" i="13" s="1"/>
  <c r="C189" i="13"/>
  <c r="I188" i="13"/>
  <c r="J188" i="13" s="1"/>
  <c r="H187" i="13"/>
  <c r="I187" i="13" s="1"/>
  <c r="J187" i="13" s="1"/>
  <c r="I186" i="13"/>
  <c r="J186" i="13" s="1"/>
  <c r="I185" i="13"/>
  <c r="J185" i="13" s="1"/>
  <c r="I184" i="13"/>
  <c r="J184" i="13" s="1"/>
  <c r="H183" i="13"/>
  <c r="F183" i="13"/>
  <c r="E183" i="13"/>
  <c r="D183" i="13"/>
  <c r="C183" i="13"/>
  <c r="I181" i="13"/>
  <c r="J181" i="13" s="1"/>
  <c r="I180" i="13"/>
  <c r="J180" i="13" s="1"/>
  <c r="I179" i="13"/>
  <c r="J179" i="13" s="1"/>
  <c r="I178" i="13"/>
  <c r="J178" i="13" s="1"/>
  <c r="I177" i="13"/>
  <c r="J177" i="13" s="1"/>
  <c r="I176" i="13"/>
  <c r="J176" i="13" s="1"/>
  <c r="I175" i="13"/>
  <c r="J175" i="13" s="1"/>
  <c r="I174" i="13"/>
  <c r="J174" i="13" s="1"/>
  <c r="H173" i="13"/>
  <c r="G173" i="13"/>
  <c r="F173" i="13"/>
  <c r="E173" i="13"/>
  <c r="D173" i="13"/>
  <c r="C173" i="13"/>
  <c r="I171" i="13"/>
  <c r="J171" i="13" s="1"/>
  <c r="I170" i="13"/>
  <c r="J170" i="13" s="1"/>
  <c r="I169" i="13"/>
  <c r="J169" i="13" s="1"/>
  <c r="H168" i="13"/>
  <c r="I168" i="13" s="1"/>
  <c r="J168" i="13" s="1"/>
  <c r="G168" i="13"/>
  <c r="G167" i="13" s="1"/>
  <c r="G165" i="13" s="1"/>
  <c r="F168" i="13"/>
  <c r="E168" i="13"/>
  <c r="H167" i="13"/>
  <c r="H165" i="13" s="1"/>
  <c r="F167" i="13"/>
  <c r="F165" i="13" s="1"/>
  <c r="E167" i="13"/>
  <c r="D167" i="13"/>
  <c r="D165" i="13" s="1"/>
  <c r="C167" i="13"/>
  <c r="C165" i="13" s="1"/>
  <c r="I166" i="13"/>
  <c r="J166" i="13" s="1"/>
  <c r="E165" i="13"/>
  <c r="I162" i="13"/>
  <c r="J162" i="13" s="1"/>
  <c r="I161" i="13"/>
  <c r="J161" i="13" s="1"/>
  <c r="I160" i="13"/>
  <c r="J160" i="13" s="1"/>
  <c r="I159" i="13"/>
  <c r="J159" i="13" s="1"/>
  <c r="H158" i="13"/>
  <c r="G158" i="13"/>
  <c r="F158" i="13"/>
  <c r="E158" i="13"/>
  <c r="D158" i="13"/>
  <c r="C158" i="13"/>
  <c r="I157" i="13"/>
  <c r="J157" i="13" s="1"/>
  <c r="I156" i="13"/>
  <c r="J156" i="13" s="1"/>
  <c r="I155" i="13"/>
  <c r="J155" i="13" s="1"/>
  <c r="H154" i="13"/>
  <c r="G154" i="13"/>
  <c r="F154" i="13"/>
  <c r="E154" i="13"/>
  <c r="D154" i="13"/>
  <c r="C154" i="13"/>
  <c r="I153" i="13"/>
  <c r="J153" i="13" s="1"/>
  <c r="J152" i="13"/>
  <c r="I152" i="13"/>
  <c r="H151" i="13"/>
  <c r="G151" i="13"/>
  <c r="F151" i="13"/>
  <c r="F150" i="13" s="1"/>
  <c r="E151" i="13"/>
  <c r="D151" i="13"/>
  <c r="C151" i="13"/>
  <c r="J149" i="13"/>
  <c r="I149" i="13"/>
  <c r="I148" i="13"/>
  <c r="J148" i="13" s="1"/>
  <c r="I147" i="13"/>
  <c r="J147" i="13" s="1"/>
  <c r="I146" i="13"/>
  <c r="J146" i="13" s="1"/>
  <c r="I145" i="13"/>
  <c r="J145" i="13" s="1"/>
  <c r="I144" i="13"/>
  <c r="J144" i="13" s="1"/>
  <c r="I143" i="13"/>
  <c r="J143" i="13" s="1"/>
  <c r="I142" i="13"/>
  <c r="J142" i="13" s="1"/>
  <c r="I141" i="13"/>
  <c r="J141" i="13" s="1"/>
  <c r="H140" i="13"/>
  <c r="H139" i="13" s="1"/>
  <c r="G140" i="13"/>
  <c r="G139" i="13" s="1"/>
  <c r="F140" i="13"/>
  <c r="F139" i="13" s="1"/>
  <c r="E140" i="13"/>
  <c r="E139" i="13" s="1"/>
  <c r="D140" i="13"/>
  <c r="D139" i="13" s="1"/>
  <c r="C140" i="13"/>
  <c r="C139" i="13" s="1"/>
  <c r="I138" i="13"/>
  <c r="J138" i="13" s="1"/>
  <c r="I137" i="13"/>
  <c r="J137" i="13" s="1"/>
  <c r="I136" i="13"/>
  <c r="J136" i="13" s="1"/>
  <c r="I135" i="13"/>
  <c r="J135" i="13" s="1"/>
  <c r="I134" i="13"/>
  <c r="J134" i="13" s="1"/>
  <c r="I133" i="13"/>
  <c r="J133" i="13" s="1"/>
  <c r="I132" i="13"/>
  <c r="J132" i="13" s="1"/>
  <c r="I131" i="13"/>
  <c r="J131" i="13" s="1"/>
  <c r="H130" i="13"/>
  <c r="G129" i="13"/>
  <c r="F129" i="13"/>
  <c r="E129" i="13"/>
  <c r="D129" i="13"/>
  <c r="C129" i="13"/>
  <c r="I128" i="13"/>
  <c r="J128" i="13" s="1"/>
  <c r="I127" i="13"/>
  <c r="J127" i="13" s="1"/>
  <c r="I126" i="13"/>
  <c r="J126" i="13" s="1"/>
  <c r="I125" i="13"/>
  <c r="J125" i="13" s="1"/>
  <c r="H124" i="13"/>
  <c r="G124" i="13"/>
  <c r="F124" i="13"/>
  <c r="E124" i="13"/>
  <c r="D124" i="13"/>
  <c r="C124" i="13"/>
  <c r="I123" i="13"/>
  <c r="J123" i="13" s="1"/>
  <c r="I122" i="13"/>
  <c r="J122" i="13" s="1"/>
  <c r="H121" i="13"/>
  <c r="G121" i="13"/>
  <c r="F121" i="13"/>
  <c r="E121" i="13"/>
  <c r="D121" i="13"/>
  <c r="C121" i="13"/>
  <c r="I120" i="13"/>
  <c r="J120" i="13" s="1"/>
  <c r="I119" i="13"/>
  <c r="J119" i="13" s="1"/>
  <c r="I118" i="13"/>
  <c r="J118" i="13" s="1"/>
  <c r="I117" i="13"/>
  <c r="J117" i="13" s="1"/>
  <c r="I116" i="13"/>
  <c r="J116" i="13" s="1"/>
  <c r="H115" i="13"/>
  <c r="G115" i="13"/>
  <c r="F115" i="13"/>
  <c r="E115" i="13"/>
  <c r="E114" i="13" s="1"/>
  <c r="D115" i="13"/>
  <c r="C115" i="13"/>
  <c r="C114" i="13" s="1"/>
  <c r="I113" i="13"/>
  <c r="J113" i="13" s="1"/>
  <c r="I112" i="13"/>
  <c r="J112" i="13" s="1"/>
  <c r="I111" i="13"/>
  <c r="J111" i="13" s="1"/>
  <c r="I110" i="13"/>
  <c r="J110" i="13" s="1"/>
  <c r="H109" i="13"/>
  <c r="G109" i="13"/>
  <c r="F109" i="13"/>
  <c r="E109" i="13"/>
  <c r="D109" i="13"/>
  <c r="C109" i="13"/>
  <c r="I108" i="13"/>
  <c r="J108" i="13" s="1"/>
  <c r="I107" i="13"/>
  <c r="J107" i="13" s="1"/>
  <c r="I106" i="13"/>
  <c r="J106" i="13" s="1"/>
  <c r="I105" i="13"/>
  <c r="J105" i="13" s="1"/>
  <c r="H104" i="13"/>
  <c r="G104" i="13"/>
  <c r="F104" i="13"/>
  <c r="E104" i="13"/>
  <c r="D104" i="13"/>
  <c r="C104" i="13"/>
  <c r="I102" i="13"/>
  <c r="J102" i="13" s="1"/>
  <c r="I101" i="13"/>
  <c r="J101" i="13" s="1"/>
  <c r="I100" i="13"/>
  <c r="J100" i="13" s="1"/>
  <c r="I99" i="13"/>
  <c r="J99" i="13" s="1"/>
  <c r="I98" i="13"/>
  <c r="J98" i="13" s="1"/>
  <c r="H97" i="13"/>
  <c r="G97" i="13"/>
  <c r="F97" i="13"/>
  <c r="E97" i="13"/>
  <c r="D97" i="13"/>
  <c r="C97" i="13"/>
  <c r="I96" i="13"/>
  <c r="J96" i="13" s="1"/>
  <c r="I95" i="13"/>
  <c r="J95" i="13" s="1"/>
  <c r="I94" i="13"/>
  <c r="J94" i="13" s="1"/>
  <c r="I93" i="13"/>
  <c r="J93" i="13" s="1"/>
  <c r="I92" i="13"/>
  <c r="J92" i="13" s="1"/>
  <c r="H91" i="13"/>
  <c r="G91" i="13"/>
  <c r="F91" i="13"/>
  <c r="E91" i="13"/>
  <c r="D91" i="13"/>
  <c r="C91" i="13"/>
  <c r="I90" i="13"/>
  <c r="J90" i="13" s="1"/>
  <c r="H89" i="13"/>
  <c r="I89" i="13" s="1"/>
  <c r="J89" i="13" s="1"/>
  <c r="G89" i="13"/>
  <c r="F89" i="13"/>
  <c r="E89" i="13"/>
  <c r="D89" i="13"/>
  <c r="D83" i="13" s="1"/>
  <c r="C89" i="13"/>
  <c r="I88" i="13"/>
  <c r="J88" i="13" s="1"/>
  <c r="I87" i="13"/>
  <c r="J87" i="13" s="1"/>
  <c r="I86" i="13"/>
  <c r="J86" i="13" s="1"/>
  <c r="H86" i="13"/>
  <c r="G86" i="13"/>
  <c r="F86" i="13"/>
  <c r="E86" i="13"/>
  <c r="I85" i="13"/>
  <c r="J85" i="13" s="1"/>
  <c r="H84" i="13"/>
  <c r="I84" i="13" s="1"/>
  <c r="J84" i="13" s="1"/>
  <c r="G84" i="13"/>
  <c r="G83" i="13" s="1"/>
  <c r="F84" i="13"/>
  <c r="E84" i="13"/>
  <c r="E83" i="13" s="1"/>
  <c r="F83" i="13"/>
  <c r="C83" i="13"/>
  <c r="I82" i="13"/>
  <c r="J82" i="13" s="1"/>
  <c r="D82" i="13"/>
  <c r="C82" i="13"/>
  <c r="C75" i="13" s="1"/>
  <c r="I81" i="13"/>
  <c r="J81" i="13" s="1"/>
  <c r="I80" i="13"/>
  <c r="J80" i="13" s="1"/>
  <c r="I79" i="13"/>
  <c r="J79" i="13" s="1"/>
  <c r="I78" i="13"/>
  <c r="J78" i="13" s="1"/>
  <c r="I77" i="13"/>
  <c r="J77" i="13" s="1"/>
  <c r="I76" i="13"/>
  <c r="J76" i="13" s="1"/>
  <c r="H75" i="13"/>
  <c r="G75" i="13"/>
  <c r="F75" i="13"/>
  <c r="E75" i="13"/>
  <c r="D75" i="13"/>
  <c r="I74" i="13"/>
  <c r="J74" i="13" s="1"/>
  <c r="I73" i="13"/>
  <c r="J73" i="13" s="1"/>
  <c r="I72" i="13"/>
  <c r="J72" i="13" s="1"/>
  <c r="I71" i="13"/>
  <c r="J71" i="13" s="1"/>
  <c r="I70" i="13"/>
  <c r="J70" i="13" s="1"/>
  <c r="H69" i="13"/>
  <c r="I69" i="13" s="1"/>
  <c r="J69" i="13" s="1"/>
  <c r="G69" i="13"/>
  <c r="F69" i="13"/>
  <c r="E69" i="13"/>
  <c r="D69" i="13"/>
  <c r="C69" i="13"/>
  <c r="I68" i="13"/>
  <c r="J68" i="13" s="1"/>
  <c r="H66" i="13"/>
  <c r="H64" i="13" s="1"/>
  <c r="H60" i="13" s="1"/>
  <c r="G66" i="13"/>
  <c r="G64" i="13" s="1"/>
  <c r="F66" i="13"/>
  <c r="E66" i="13"/>
  <c r="I65" i="13"/>
  <c r="J65" i="13" s="1"/>
  <c r="F64" i="13"/>
  <c r="E64" i="13"/>
  <c r="D64" i="13"/>
  <c r="C64" i="13"/>
  <c r="I63" i="13"/>
  <c r="J63" i="13" s="1"/>
  <c r="I62" i="13"/>
  <c r="J62" i="13" s="1"/>
  <c r="I61" i="13"/>
  <c r="J61" i="13" s="1"/>
  <c r="H61" i="13"/>
  <c r="G61" i="13"/>
  <c r="G60" i="13" s="1"/>
  <c r="F61" i="13"/>
  <c r="F60" i="13" s="1"/>
  <c r="E61" i="13"/>
  <c r="D61" i="13"/>
  <c r="C61" i="13"/>
  <c r="C60" i="13" s="1"/>
  <c r="D60" i="13"/>
  <c r="I58" i="13"/>
  <c r="J58" i="13" s="1"/>
  <c r="I57" i="13"/>
  <c r="J57" i="13" s="1"/>
  <c r="I56" i="13"/>
  <c r="J56" i="13" s="1"/>
  <c r="I55" i="13"/>
  <c r="J55" i="13" s="1"/>
  <c r="I54" i="13"/>
  <c r="J54" i="13" s="1"/>
  <c r="H53" i="13"/>
  <c r="H51" i="13" s="1"/>
  <c r="G53" i="13"/>
  <c r="F53" i="13"/>
  <c r="F51" i="13" s="1"/>
  <c r="E53" i="13"/>
  <c r="E51" i="13" s="1"/>
  <c r="D53" i="13"/>
  <c r="D51" i="13" s="1"/>
  <c r="C53" i="13"/>
  <c r="I52" i="13"/>
  <c r="J52" i="13" s="1"/>
  <c r="G51" i="13"/>
  <c r="C51" i="13"/>
  <c r="I50" i="13"/>
  <c r="J50" i="13" s="1"/>
  <c r="I49" i="13"/>
  <c r="J49" i="13" s="1"/>
  <c r="I48" i="13"/>
  <c r="J48" i="13" s="1"/>
  <c r="I47" i="13"/>
  <c r="J47" i="13" s="1"/>
  <c r="I46" i="13"/>
  <c r="J46" i="13" s="1"/>
  <c r="I45" i="13"/>
  <c r="J45" i="13" s="1"/>
  <c r="I44" i="13"/>
  <c r="J44" i="13" s="1"/>
  <c r="I43" i="13"/>
  <c r="J43" i="13" s="1"/>
  <c r="I42" i="13"/>
  <c r="J42" i="13" s="1"/>
  <c r="I41" i="13"/>
  <c r="J41" i="13" s="1"/>
  <c r="H40" i="13"/>
  <c r="G40" i="13"/>
  <c r="F40" i="13"/>
  <c r="E40" i="13"/>
  <c r="D40" i="13"/>
  <c r="C40" i="13"/>
  <c r="I39" i="13"/>
  <c r="J39" i="13" s="1"/>
  <c r="I38" i="13"/>
  <c r="J38" i="13" s="1"/>
  <c r="H37" i="13"/>
  <c r="G37" i="13"/>
  <c r="G36" i="13" s="1"/>
  <c r="F37" i="13"/>
  <c r="E37" i="13"/>
  <c r="D37" i="13"/>
  <c r="D36" i="13" s="1"/>
  <c r="C37" i="13"/>
  <c r="C36" i="13" s="1"/>
  <c r="C35" i="13" s="1"/>
  <c r="H36" i="13"/>
  <c r="I36" i="13" s="1"/>
  <c r="J36" i="13" s="1"/>
  <c r="E36" i="13"/>
  <c r="H33" i="13"/>
  <c r="I33" i="13" s="1"/>
  <c r="J33" i="13" s="1"/>
  <c r="E33" i="13"/>
  <c r="I32" i="13"/>
  <c r="J32" i="13" s="1"/>
  <c r="I31" i="13"/>
  <c r="J31" i="13" s="1"/>
  <c r="I30" i="13"/>
  <c r="J30" i="13" s="1"/>
  <c r="I29" i="13"/>
  <c r="J29" i="13" s="1"/>
  <c r="H28" i="13"/>
  <c r="G28" i="13"/>
  <c r="F28" i="13"/>
  <c r="E28" i="13"/>
  <c r="I27" i="13"/>
  <c r="J27" i="13" s="1"/>
  <c r="H26" i="13"/>
  <c r="I26" i="13" s="1"/>
  <c r="J26" i="13" s="1"/>
  <c r="G26" i="13"/>
  <c r="F26" i="13"/>
  <c r="E26" i="13"/>
  <c r="E25" i="13"/>
  <c r="D25" i="13"/>
  <c r="C25" i="13"/>
  <c r="I24" i="13"/>
  <c r="J24" i="13" s="1"/>
  <c r="I23" i="13"/>
  <c r="J23" i="13" s="1"/>
  <c r="H22" i="13"/>
  <c r="G22" i="13"/>
  <c r="F22" i="13"/>
  <c r="E22" i="13"/>
  <c r="D22" i="13"/>
  <c r="C22" i="13"/>
  <c r="I21" i="13"/>
  <c r="J21" i="13" s="1"/>
  <c r="I20" i="13"/>
  <c r="J20" i="13" s="1"/>
  <c r="I19" i="13"/>
  <c r="J19" i="13" s="1"/>
  <c r="I18" i="13"/>
  <c r="J18" i="13" s="1"/>
  <c r="G18" i="13"/>
  <c r="F18" i="13"/>
  <c r="E18" i="13"/>
  <c r="I17" i="13"/>
  <c r="J17" i="13" s="1"/>
  <c r="H16" i="13"/>
  <c r="G16" i="13"/>
  <c r="F16" i="13"/>
  <c r="E16" i="13"/>
  <c r="D16" i="13"/>
  <c r="C16" i="13"/>
  <c r="I15" i="13"/>
  <c r="J15" i="13" s="1"/>
  <c r="H14" i="13"/>
  <c r="H13" i="13" s="1"/>
  <c r="G14" i="13"/>
  <c r="G13" i="13" s="1"/>
  <c r="F14" i="13"/>
  <c r="E14" i="13"/>
  <c r="E13" i="13" s="1"/>
  <c r="F13" i="13"/>
  <c r="D13" i="13"/>
  <c r="C13" i="13"/>
  <c r="I12" i="13"/>
  <c r="J12" i="13" s="1"/>
  <c r="I11" i="13"/>
  <c r="J11" i="13" s="1"/>
  <c r="H10" i="13"/>
  <c r="G10" i="13"/>
  <c r="F10" i="13"/>
  <c r="E10" i="13"/>
  <c r="D10" i="13"/>
  <c r="C10" i="13"/>
  <c r="I9" i="13"/>
  <c r="J9" i="13" s="1"/>
  <c r="I8" i="13"/>
  <c r="J8" i="13" s="1"/>
  <c r="I7" i="13"/>
  <c r="J7" i="13" s="1"/>
  <c r="I6" i="13"/>
  <c r="J6" i="13" s="1"/>
  <c r="H5" i="13"/>
  <c r="G5" i="13"/>
  <c r="F5" i="13"/>
  <c r="E5" i="13"/>
  <c r="C5" i="13"/>
  <c r="G35" i="13" l="1"/>
  <c r="D4" i="13"/>
  <c r="I22" i="13"/>
  <c r="J22" i="13" s="1"/>
  <c r="C4" i="13"/>
  <c r="C3" i="13" s="1"/>
  <c r="E4" i="13"/>
  <c r="E3" i="13" s="1"/>
  <c r="E182" i="13" s="1"/>
  <c r="I64" i="13"/>
  <c r="J64" i="13" s="1"/>
  <c r="E60" i="13"/>
  <c r="I66" i="13"/>
  <c r="J66" i="13" s="1"/>
  <c r="H83" i="13"/>
  <c r="H67" i="13" s="1"/>
  <c r="F25" i="13"/>
  <c r="H25" i="13"/>
  <c r="I104" i="13"/>
  <c r="J104" i="13" s="1"/>
  <c r="I121" i="13"/>
  <c r="J121" i="13" s="1"/>
  <c r="F4" i="13"/>
  <c r="F3" i="13" s="1"/>
  <c r="F182" i="13" s="1"/>
  <c r="G25" i="13"/>
  <c r="I115" i="13"/>
  <c r="J115" i="13" s="1"/>
  <c r="I10" i="13"/>
  <c r="J10" i="13" s="1"/>
  <c r="I16" i="13"/>
  <c r="J16" i="13" s="1"/>
  <c r="F36" i="13"/>
  <c r="I53" i="13"/>
  <c r="J53" i="13" s="1"/>
  <c r="I109" i="13"/>
  <c r="J109" i="13" s="1"/>
  <c r="D114" i="13"/>
  <c r="H114" i="13"/>
  <c r="I51" i="13"/>
  <c r="J51" i="13" s="1"/>
  <c r="I5" i="13"/>
  <c r="J5" i="13" s="1"/>
  <c r="H35" i="13"/>
  <c r="D35" i="13"/>
  <c r="I37" i="13"/>
  <c r="J37" i="13" s="1"/>
  <c r="I40" i="13"/>
  <c r="J40" i="13" s="1"/>
  <c r="I60" i="13"/>
  <c r="J60" i="13" s="1"/>
  <c r="I75" i="13"/>
  <c r="J75" i="13" s="1"/>
  <c r="I97" i="13"/>
  <c r="J97" i="13" s="1"/>
  <c r="D150" i="13"/>
  <c r="I91" i="13"/>
  <c r="J91" i="13" s="1"/>
  <c r="E150" i="13"/>
  <c r="I83" i="13"/>
  <c r="J83" i="13" s="1"/>
  <c r="F114" i="13"/>
  <c r="F103" i="13" s="1"/>
  <c r="E103" i="13"/>
  <c r="C150" i="13"/>
  <c r="G150" i="13"/>
  <c r="H150" i="13"/>
  <c r="D103" i="13"/>
  <c r="I124" i="13"/>
  <c r="J124" i="13" s="1"/>
  <c r="D67" i="13"/>
  <c r="C103" i="13"/>
  <c r="E67" i="13"/>
  <c r="G114" i="13"/>
  <c r="G103" i="13" s="1"/>
  <c r="F67" i="13"/>
  <c r="G67" i="13"/>
  <c r="C67" i="13"/>
  <c r="E35" i="13"/>
  <c r="F35" i="13"/>
  <c r="I25" i="13"/>
  <c r="J25" i="13" s="1"/>
  <c r="G4" i="13"/>
  <c r="G3" i="13" s="1"/>
  <c r="D3" i="13"/>
  <c r="I13" i="13"/>
  <c r="J13" i="13" s="1"/>
  <c r="H4" i="13"/>
  <c r="C182" i="13"/>
  <c r="I14" i="13"/>
  <c r="J14" i="13" s="1"/>
  <c r="I28" i="13"/>
  <c r="J28" i="13" s="1"/>
  <c r="I140" i="13"/>
  <c r="J140" i="13" s="1"/>
  <c r="I151" i="13"/>
  <c r="J151" i="13" s="1"/>
  <c r="I158" i="13"/>
  <c r="J158" i="13" s="1"/>
  <c r="I173" i="13"/>
  <c r="J173" i="13" s="1"/>
  <c r="I139" i="13"/>
  <c r="J139" i="13" s="1"/>
  <c r="I183" i="13"/>
  <c r="J183" i="13" s="1"/>
  <c r="I130" i="13"/>
  <c r="J130" i="13" s="1"/>
  <c r="H129" i="13"/>
  <c r="I165" i="13"/>
  <c r="J165" i="13" s="1"/>
  <c r="I167" i="13"/>
  <c r="J167" i="13" s="1"/>
  <c r="I154" i="13"/>
  <c r="J154" i="13" s="1"/>
  <c r="I35" i="13" l="1"/>
  <c r="J35" i="13" s="1"/>
  <c r="I114" i="13"/>
  <c r="J114" i="13" s="1"/>
  <c r="I150" i="13"/>
  <c r="J150" i="13" s="1"/>
  <c r="C59" i="13"/>
  <c r="C34" i="13" s="1"/>
  <c r="C163" i="13" s="1"/>
  <c r="C191" i="13" s="1"/>
  <c r="E59" i="13"/>
  <c r="E34" i="13" s="1"/>
  <c r="E163" i="13" s="1"/>
  <c r="E191" i="13" s="1"/>
  <c r="D59" i="13"/>
  <c r="D34" i="13" s="1"/>
  <c r="D163" i="13" s="1"/>
  <c r="D191" i="13" s="1"/>
  <c r="G59" i="13"/>
  <c r="G34" i="13" s="1"/>
  <c r="G163" i="13" s="1"/>
  <c r="G191" i="13" s="1"/>
  <c r="F59" i="13"/>
  <c r="F34" i="13" s="1"/>
  <c r="F163" i="13" s="1"/>
  <c r="F191" i="13" s="1"/>
  <c r="I67" i="13"/>
  <c r="J67" i="13" s="1"/>
  <c r="D182" i="13"/>
  <c r="I4" i="13"/>
  <c r="J4" i="13" s="1"/>
  <c r="H3" i="13"/>
  <c r="G182" i="13"/>
  <c r="H103" i="13"/>
  <c r="I129" i="13"/>
  <c r="J129" i="13" s="1"/>
  <c r="D30" i="5"/>
  <c r="C164" i="13" l="1"/>
  <c r="C172" i="13" s="1"/>
  <c r="C193" i="13" s="1"/>
  <c r="F164" i="13"/>
  <c r="F172" i="13" s="1"/>
  <c r="F193" i="13" s="1"/>
  <c r="D164" i="13"/>
  <c r="D172" i="13" s="1"/>
  <c r="D193" i="13" s="1"/>
  <c r="G164" i="13"/>
  <c r="G172" i="13" s="1"/>
  <c r="G193" i="13" s="1"/>
  <c r="E164" i="13"/>
  <c r="E172" i="13" s="1"/>
  <c r="E193" i="13" s="1"/>
  <c r="H59" i="13"/>
  <c r="I103" i="13"/>
  <c r="J103" i="13" s="1"/>
  <c r="H182" i="13"/>
  <c r="I182" i="13" s="1"/>
  <c r="J182" i="13" s="1"/>
  <c r="I3" i="13"/>
  <c r="J3" i="13" s="1"/>
  <c r="H34" i="13" l="1"/>
  <c r="I59" i="13"/>
  <c r="J59" i="13" s="1"/>
  <c r="I34" i="13" l="1"/>
  <c r="J34" i="13" s="1"/>
  <c r="H163" i="13"/>
  <c r="D123" i="5"/>
  <c r="E123" i="5"/>
  <c r="F123" i="5"/>
  <c r="G123" i="5"/>
  <c r="H123" i="5"/>
  <c r="D120" i="5"/>
  <c r="E120" i="5"/>
  <c r="F120" i="5"/>
  <c r="G120" i="5"/>
  <c r="H120" i="5"/>
  <c r="D117" i="5"/>
  <c r="E117" i="5"/>
  <c r="F117" i="5"/>
  <c r="G117" i="5"/>
  <c r="H117" i="5"/>
  <c r="D114" i="5"/>
  <c r="E114" i="5"/>
  <c r="F114" i="5"/>
  <c r="G114" i="5"/>
  <c r="H114" i="5"/>
  <c r="D111" i="5"/>
  <c r="E111" i="5"/>
  <c r="F111" i="5"/>
  <c r="G111" i="5"/>
  <c r="H111" i="5"/>
  <c r="D101" i="5"/>
  <c r="E101" i="5"/>
  <c r="F101" i="5"/>
  <c r="G101" i="5"/>
  <c r="H101" i="5"/>
  <c r="D98" i="5"/>
  <c r="E98" i="5"/>
  <c r="F98" i="5"/>
  <c r="G98" i="5"/>
  <c r="H98" i="5"/>
  <c r="D95" i="5"/>
  <c r="E95" i="5"/>
  <c r="F95" i="5"/>
  <c r="G95" i="5"/>
  <c r="H95" i="5"/>
  <c r="D92" i="5"/>
  <c r="E92" i="5"/>
  <c r="F92" i="5"/>
  <c r="G92" i="5"/>
  <c r="H92" i="5"/>
  <c r="D89" i="5"/>
  <c r="E89" i="5"/>
  <c r="F89" i="5"/>
  <c r="G89" i="5"/>
  <c r="H89" i="5"/>
  <c r="D85" i="5"/>
  <c r="E85" i="5"/>
  <c r="F85" i="5"/>
  <c r="G85" i="5"/>
  <c r="H85" i="5"/>
  <c r="D82" i="5"/>
  <c r="E82" i="5"/>
  <c r="F82" i="5"/>
  <c r="G82" i="5"/>
  <c r="H82" i="5"/>
  <c r="D79" i="5"/>
  <c r="E79" i="5"/>
  <c r="F79" i="5"/>
  <c r="G79" i="5"/>
  <c r="H79" i="5"/>
  <c r="D76" i="5"/>
  <c r="E76" i="5"/>
  <c r="F76" i="5"/>
  <c r="G76" i="5"/>
  <c r="H76" i="5"/>
  <c r="D73" i="5"/>
  <c r="E73" i="5"/>
  <c r="F73" i="5"/>
  <c r="G73" i="5"/>
  <c r="H73" i="5"/>
  <c r="D69" i="5"/>
  <c r="E69" i="5"/>
  <c r="F69" i="5"/>
  <c r="G69" i="5"/>
  <c r="H69" i="5"/>
  <c r="D66" i="5"/>
  <c r="E66" i="5"/>
  <c r="F66" i="5"/>
  <c r="G66" i="5"/>
  <c r="H66" i="5"/>
  <c r="D63" i="5"/>
  <c r="E63" i="5"/>
  <c r="F63" i="5"/>
  <c r="G63" i="5"/>
  <c r="H63" i="5"/>
  <c r="D60" i="5"/>
  <c r="E60" i="5"/>
  <c r="F60" i="5"/>
  <c r="G60" i="5"/>
  <c r="H60" i="5"/>
  <c r="D57" i="5"/>
  <c r="E57" i="5"/>
  <c r="F57" i="5"/>
  <c r="G57" i="5"/>
  <c r="H57" i="5"/>
  <c r="H191" i="13" l="1"/>
  <c r="I191" i="13" s="1"/>
  <c r="J191" i="13" s="1"/>
  <c r="I163" i="13"/>
  <c r="J163" i="13" s="1"/>
  <c r="H164" i="13"/>
  <c r="I164" i="13" l="1"/>
  <c r="J164" i="13" s="1"/>
  <c r="H172" i="13"/>
  <c r="I172" i="13" l="1"/>
  <c r="J172" i="13" s="1"/>
  <c r="H193" i="13"/>
  <c r="I193" i="13" s="1"/>
  <c r="J193" i="13" s="1"/>
  <c r="C123" i="5"/>
  <c r="C120" i="5"/>
  <c r="C117" i="5"/>
  <c r="C114" i="5"/>
  <c r="C111" i="5"/>
  <c r="C101" i="5"/>
  <c r="C98" i="5"/>
  <c r="C95" i="5"/>
  <c r="C92" i="5"/>
  <c r="C89" i="5"/>
  <c r="C85" i="5"/>
  <c r="C82" i="5"/>
  <c r="C79" i="5"/>
  <c r="C76" i="5"/>
  <c r="C73" i="5"/>
  <c r="C69" i="5"/>
  <c r="C66" i="5"/>
  <c r="C63" i="5"/>
  <c r="C60" i="5"/>
  <c r="C57" i="5"/>
  <c r="C110" i="5" l="1"/>
  <c r="C88" i="5"/>
  <c r="H88" i="5" l="1"/>
  <c r="D88" i="5"/>
  <c r="E88" i="5"/>
  <c r="F88" i="5"/>
  <c r="G88" i="5"/>
  <c r="D3" i="5" l="1"/>
  <c r="D126" i="5" l="1"/>
  <c r="D110" i="5" s="1"/>
  <c r="D107" i="5" s="1"/>
  <c r="E126" i="5"/>
  <c r="E110" i="5" s="1"/>
  <c r="E107" i="5" s="1"/>
  <c r="F126" i="5"/>
  <c r="F110" i="5" s="1"/>
  <c r="F107" i="5" s="1"/>
  <c r="G126" i="5"/>
  <c r="G110" i="5" s="1"/>
  <c r="G107" i="5" s="1"/>
  <c r="H126" i="5"/>
  <c r="C126" i="5"/>
  <c r="C107" i="5" s="1"/>
  <c r="C130" i="5" s="1"/>
  <c r="D47" i="5"/>
  <c r="E47" i="5"/>
  <c r="F47" i="5"/>
  <c r="G47" i="5"/>
  <c r="H47" i="5"/>
  <c r="C47" i="5"/>
  <c r="G35" i="5"/>
  <c r="D35" i="5"/>
  <c r="E35" i="5"/>
  <c r="F35" i="5"/>
  <c r="H35" i="5"/>
  <c r="D42" i="5"/>
  <c r="E42" i="5"/>
  <c r="F42" i="5"/>
  <c r="G42" i="5"/>
  <c r="G34" i="5" s="1"/>
  <c r="H42" i="5"/>
  <c r="C42" i="5"/>
  <c r="C35" i="5"/>
  <c r="G24" i="5"/>
  <c r="G27" i="5"/>
  <c r="D7" i="5"/>
  <c r="E7" i="5"/>
  <c r="F7" i="5"/>
  <c r="G7" i="5"/>
  <c r="H7" i="5"/>
  <c r="D12" i="5"/>
  <c r="E12" i="5"/>
  <c r="F12" i="5"/>
  <c r="G12" i="5"/>
  <c r="H12" i="5"/>
  <c r="D15" i="5"/>
  <c r="E15" i="5"/>
  <c r="F15" i="5"/>
  <c r="G15" i="5"/>
  <c r="H15" i="5"/>
  <c r="D18" i="5"/>
  <c r="E18" i="5"/>
  <c r="F18" i="5"/>
  <c r="G18" i="5"/>
  <c r="H18" i="5"/>
  <c r="D24" i="5"/>
  <c r="E24" i="5"/>
  <c r="F24" i="5"/>
  <c r="H24" i="5"/>
  <c r="D27" i="5"/>
  <c r="E27" i="5"/>
  <c r="F27" i="5"/>
  <c r="H27" i="5"/>
  <c r="C27" i="5"/>
  <c r="C24" i="5"/>
  <c r="C18" i="5"/>
  <c r="C15" i="5"/>
  <c r="C12" i="5"/>
  <c r="C7" i="5"/>
  <c r="H110" i="5" l="1"/>
  <c r="H107" i="5" s="1"/>
  <c r="H130" i="5" s="1"/>
  <c r="G72" i="5"/>
  <c r="G56" i="5" s="1"/>
  <c r="G55" i="5" s="1"/>
  <c r="G53" i="5" s="1"/>
  <c r="G105" i="5" s="1"/>
  <c r="H72" i="5"/>
  <c r="H56" i="5" s="1"/>
  <c r="H55" i="5" s="1"/>
  <c r="H53" i="5" s="1"/>
  <c r="H105" i="5" s="1"/>
  <c r="F72" i="5"/>
  <c r="F56" i="5" s="1"/>
  <c r="F55" i="5" s="1"/>
  <c r="F53" i="5" s="1"/>
  <c r="F105" i="5" s="1"/>
  <c r="D72" i="5"/>
  <c r="D56" i="5" s="1"/>
  <c r="D55" i="5" s="1"/>
  <c r="D53" i="5" s="1"/>
  <c r="D105" i="5" s="1"/>
  <c r="E72" i="5"/>
  <c r="E56" i="5" s="1"/>
  <c r="E55" i="5" s="1"/>
  <c r="E53" i="5" s="1"/>
  <c r="E105" i="5" s="1"/>
  <c r="C72" i="5"/>
  <c r="C56" i="5" s="1"/>
  <c r="C55" i="5" s="1"/>
  <c r="C53" i="5" s="1"/>
  <c r="C105" i="5" s="1"/>
  <c r="F130" i="5"/>
  <c r="E34" i="5"/>
  <c r="E130" i="5"/>
  <c r="F6" i="5"/>
  <c r="F5" i="5" s="1"/>
  <c r="G130" i="5"/>
  <c r="E6" i="5"/>
  <c r="E5" i="5" s="1"/>
  <c r="D34" i="5"/>
  <c r="D130" i="5"/>
  <c r="H6" i="5"/>
  <c r="H5" i="5" s="1"/>
  <c r="D6" i="5"/>
  <c r="D5" i="5" s="1"/>
  <c r="H34" i="5"/>
  <c r="G6" i="5"/>
  <c r="G5" i="5" s="1"/>
  <c r="G45" i="5" s="1"/>
  <c r="F34" i="5"/>
  <c r="C34" i="5"/>
  <c r="C6" i="5"/>
  <c r="C5" i="5" s="1"/>
  <c r="C45" i="5" l="1"/>
  <c r="C133" i="5" s="1"/>
  <c r="E45" i="5"/>
  <c r="D45" i="5"/>
  <c r="D133" i="5" s="1"/>
  <c r="F45" i="5"/>
  <c r="H45" i="5"/>
  <c r="H3" i="5" l="1"/>
  <c r="G3" i="5"/>
  <c r="G133" i="5" s="1"/>
  <c r="E3" i="5"/>
  <c r="E133" i="5" s="1"/>
  <c r="F3" i="5"/>
  <c r="F133" i="5" s="1"/>
  <c r="H133" i="5" l="1"/>
</calcChain>
</file>

<file path=xl/sharedStrings.xml><?xml version="1.0" encoding="utf-8"?>
<sst xmlns="http://schemas.openxmlformats.org/spreadsheetml/2006/main" count="863" uniqueCount="655">
  <si>
    <t>Kods</t>
  </si>
  <si>
    <t>Budžeta pozīcijas</t>
  </si>
  <si>
    <t>A</t>
  </si>
  <si>
    <t>I   IEŅĒMUMI NO SAIMNIECISKĀS DARBĪBAS KOPĀ</t>
  </si>
  <si>
    <t>Valsts budžeta līdzekļi</t>
  </si>
  <si>
    <t xml:space="preserve">stacionārai palīdzībai </t>
  </si>
  <si>
    <t>pacientu iemaksas par atbrīvotajām kategorijām (stacionāram)</t>
  </si>
  <si>
    <t>ambulatorai palīdzībai</t>
  </si>
  <si>
    <t>pacientu iemaksas par atbrīvotajām kategorijām (ambulatorai p.)</t>
  </si>
  <si>
    <t>asins sagatavošanas nodaļas pakalpojumiem</t>
  </si>
  <si>
    <t>citi ieņēmumi (piem.reģistru uztur., retajiem medikam. utt.)</t>
  </si>
  <si>
    <t>Ieņēmumi par valsts finansēto zinātnisko darbību (TOP;GRANTI)</t>
  </si>
  <si>
    <t>Valsts pārvaldes deleģēto uzdevumu veikšana (Černobiļas apliecības izsniegšana)</t>
  </si>
  <si>
    <t>Pakalpojumi no maznodrošinātajiem</t>
  </si>
  <si>
    <t>Dotācija no pašvaldības budžeta</t>
  </si>
  <si>
    <t>Uzņēmuma  nopelnītie līdzekļi</t>
  </si>
  <si>
    <t>pārējie saimnieciskās darbības ieņēmumi</t>
  </si>
  <si>
    <t>Saņemtās pacientu iemaksas (stacionāram)</t>
  </si>
  <si>
    <t>Saņemtās pacientu iemaksas (ambulatorai p.)</t>
  </si>
  <si>
    <t>Ziedojumi</t>
  </si>
  <si>
    <t>Pacienta līdzmaksājums par operāciju</t>
  </si>
  <si>
    <t>B</t>
  </si>
  <si>
    <t>1000</t>
  </si>
  <si>
    <t>ATLĪDZĪBA</t>
  </si>
  <si>
    <t>Atalgojums - kopā</t>
  </si>
  <si>
    <t>Mēneša amatalga</t>
  </si>
  <si>
    <t>Samaksa par darbu svētku dienās un virsstundu darbu</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</si>
  <si>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</si>
  <si>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</si>
  <si>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</si>
  <si>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</si>
  <si>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</si>
  <si>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</si>
  <si>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</si>
  <si>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</si>
  <si>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</si>
  <si>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</si>
  <si>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</si>
  <si>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</si>
  <si>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</si>
  <si>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</si>
  <si>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</si>
  <si>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Dienas nauda</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</si>
  <si>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</si>
  <si>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</si>
  <si>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</si>
  <si>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</si>
  <si>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</si>
  <si>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</si>
  <si>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Normatīvajos aktos noteiktie darba devēja veselības izdevumi darba ņēmējiem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</si>
  <si>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</si>
  <si>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</si>
  <si>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</si>
  <si>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</si>
  <si>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</si>
  <si>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</si>
  <si>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</si>
  <si>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</si>
  <si>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</si>
  <si>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</si>
  <si>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</si>
  <si>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</si>
  <si>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Maksājumi par saņemtajiem finanšu pakalpojumiem</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</si>
  <si>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</si>
  <si>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</si>
  <si>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</si>
  <si>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</si>
  <si>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</si>
  <si>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</si>
  <si>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</si>
  <si>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</si>
  <si>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</si>
  <si>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</si>
  <si>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</si>
  <si>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</si>
  <si>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</si>
  <si>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</si>
  <si>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</si>
  <si>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</si>
  <si>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</si>
  <si>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</si>
  <si>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</si>
  <si>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</si>
  <si>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</si>
  <si>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</si>
  <si>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Pakalpojumi, kurus budžeta iestādes apmaksā noteikto funkciju ietvaros, kas nav iestādes administratīvie izdevumi</t>
  </si>
  <si>
    <t>PROCENTU IZDEVUMI</t>
  </si>
  <si>
    <t>Procentu maksājumi ārvalstu un starptautiskajām finanšu institūcijām</t>
  </si>
  <si>
    <t>Procentu maksājumi ārvalstu un starptautiskajām finanšu institūcijām no atvasināto finanšu instrumentu rezultāta</t>
  </si>
  <si>
    <t>Procentu maksājumi iekšzemes kredītiestādēm</t>
  </si>
  <si>
    <t>Procentu maksājumi iekšzemes kredītiestādēm no atvasināto finanšu instrumentu rezultāta</t>
  </si>
  <si>
    <t>Pārējie procentu maksājumi</t>
  </si>
  <si>
    <t>Procentu maksājumi Valsts kasei</t>
  </si>
  <si>
    <t>C</t>
  </si>
  <si>
    <t>KOPĀ IZDEVUMI</t>
  </si>
  <si>
    <t>D</t>
  </si>
  <si>
    <t>N O L I E T O J U M S</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</si>
  <si>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</si>
  <si>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</si>
  <si>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</si>
  <si>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</si>
  <si>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</si>
  <si>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</si>
  <si>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</si>
  <si>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</si>
  <si>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</si>
  <si>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</si>
  <si>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</si>
  <si>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</si>
  <si>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</si>
  <si>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</si>
  <si>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</si>
  <si>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</si>
  <si>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</si>
  <si>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</si>
  <si>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</si>
  <si>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</si>
  <si>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Atliktā UIN saistības</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</si>
  <si>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</si>
  <si>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</si>
  <si>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</si>
  <si>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</si>
  <si>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</si>
  <si>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</si>
  <si>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</si>
  <si>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</si>
  <si>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</si>
  <si>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</si>
  <si>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</si>
  <si>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</si>
  <si>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</si>
  <si>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</si>
  <si>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</si>
  <si>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</si>
  <si>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</si>
  <si>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</si>
  <si>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</si>
  <si>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</si>
  <si>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</si>
  <si>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</si>
  <si>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00143</t>
  </si>
  <si>
    <t>00144</t>
  </si>
  <si>
    <t>0020</t>
  </si>
  <si>
    <t>00211</t>
  </si>
  <si>
    <t>0030</t>
  </si>
  <si>
    <t>maksas veselības aprūpes pakalpojumi</t>
  </si>
  <si>
    <t>maksas sociālie pakalpojumi</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</si>
  <si>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</si>
  <si>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</si>
  <si>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</si>
  <si>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</si>
  <si>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</si>
  <si>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</si>
  <si>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</si>
  <si>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</si>
  <si>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</si>
  <si>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</si>
  <si>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</si>
  <si>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</si>
  <si>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</si>
  <si>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</si>
  <si>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</si>
  <si>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</si>
  <si>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</si>
  <si>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</si>
  <si>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</si>
  <si>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Procentu maksājumi iekšzemes finanšu institūcijām par aizņēmumiem un vērtspapīriem</t>
  </si>
  <si>
    <t>Līzinga procentu maksājumi</t>
  </si>
  <si>
    <t>Procentu maksājumi par aizņēmumiem no pašvaldību budžeta</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</si>
  <si>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</si>
  <si>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</si>
  <si>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</si>
  <si>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</si>
  <si>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</si>
  <si>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</si>
  <si>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</si>
  <si>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</si>
  <si>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</si>
  <si>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</si>
  <si>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</si>
  <si>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</si>
  <si>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H</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</si>
  <si>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</si>
  <si>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</si>
  <si>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</si>
  <si>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</si>
  <si>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</si>
  <si>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</si>
  <si>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</si>
  <si>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</si>
  <si>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</si>
  <si>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</si>
  <si>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</si>
  <si>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</si>
  <si>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</si>
  <si>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</si>
  <si>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</si>
  <si>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</si>
  <si>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</si>
  <si>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</si>
  <si>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</si>
  <si>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</si>
  <si>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</si>
  <si>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</si>
  <si>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</si>
  <si>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</si>
  <si>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</si>
  <si>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</si>
  <si>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</si>
  <si>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</si>
  <si>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</si>
  <si>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</si>
  <si>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</si>
  <si>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Elektroenerģijas patērinš (kWh)</t>
  </si>
  <si>
    <t>Centrālapkures patēriņš (MWh)</t>
  </si>
  <si>
    <t>27500</t>
  </si>
  <si>
    <t>27400</t>
  </si>
  <si>
    <t>X</t>
  </si>
  <si>
    <t>27100</t>
  </si>
  <si>
    <t>27000</t>
  </si>
  <si>
    <t>26450</t>
  </si>
  <si>
    <t>26440</t>
  </si>
  <si>
    <t>26430</t>
  </si>
  <si>
    <t>26420</t>
  </si>
  <si>
    <t>26410</t>
  </si>
  <si>
    <t>26400</t>
  </si>
  <si>
    <t>26350</t>
  </si>
  <si>
    <t>26340</t>
  </si>
  <si>
    <t>26330</t>
  </si>
  <si>
    <t>26320</t>
  </si>
  <si>
    <t>26310</t>
  </si>
  <si>
    <t>Vidējais darbinieku skaits (cilv.)</t>
  </si>
  <si>
    <t>26300</t>
  </si>
  <si>
    <t>26250</t>
  </si>
  <si>
    <t>26240</t>
  </si>
  <si>
    <t>26230</t>
  </si>
  <si>
    <t>26220</t>
  </si>
  <si>
    <t>26210</t>
  </si>
  <si>
    <t xml:space="preserve">Vidējie ienākumi uz vienu štata vienību likmi </t>
  </si>
  <si>
    <t>26200</t>
  </si>
  <si>
    <t>26150</t>
  </si>
  <si>
    <t>26140</t>
  </si>
  <si>
    <t>26130</t>
  </si>
  <si>
    <t>26120</t>
  </si>
  <si>
    <t>26110</t>
  </si>
  <si>
    <t xml:space="preserve">Štata vienību / likmju vidējais skaits </t>
  </si>
  <si>
    <t>26100</t>
  </si>
  <si>
    <t>26000</t>
  </si>
  <si>
    <t>25500</t>
  </si>
  <si>
    <t xml:space="preserve">Klientu skaits </t>
  </si>
  <si>
    <t>25400</t>
  </si>
  <si>
    <t>25300</t>
  </si>
  <si>
    <t>25200</t>
  </si>
  <si>
    <t>Klientu dienu skaits</t>
  </si>
  <si>
    <t>25100</t>
  </si>
  <si>
    <t>25000</t>
  </si>
  <si>
    <t>24500</t>
  </si>
  <si>
    <t>24400</t>
  </si>
  <si>
    <t>24300</t>
  </si>
  <si>
    <t>24200</t>
  </si>
  <si>
    <t>24100</t>
  </si>
  <si>
    <t>24000</t>
  </si>
  <si>
    <t>23320</t>
  </si>
  <si>
    <t>t.sk. dienas stacionārā</t>
  </si>
  <si>
    <t>23300</t>
  </si>
  <si>
    <t>23290</t>
  </si>
  <si>
    <t>23280</t>
  </si>
  <si>
    <t>23270</t>
  </si>
  <si>
    <t>23262</t>
  </si>
  <si>
    <t>23261</t>
  </si>
  <si>
    <t>23251</t>
  </si>
  <si>
    <t>23250</t>
  </si>
  <si>
    <t>Vidējais gultu skaits stacionārā</t>
  </si>
  <si>
    <t>23210</t>
  </si>
  <si>
    <t>23200</t>
  </si>
  <si>
    <t>231132</t>
  </si>
  <si>
    <t>231131</t>
  </si>
  <si>
    <t>23113</t>
  </si>
  <si>
    <t>23112</t>
  </si>
  <si>
    <t>23111</t>
  </si>
  <si>
    <t>23110</t>
  </si>
  <si>
    <t>23100</t>
  </si>
  <si>
    <t>23000</t>
  </si>
  <si>
    <t>Naturālie rādītāji</t>
  </si>
  <si>
    <t>23231</t>
  </si>
  <si>
    <t>23232</t>
  </si>
  <si>
    <t>VADC asins komponenti</t>
  </si>
  <si>
    <t>Medicīnas preces</t>
  </si>
  <si>
    <t>Implanti</t>
  </si>
  <si>
    <t>Medicīnas instrumenti</t>
  </si>
  <si>
    <t>Asins iegāde (izdevumi atlīdzībai donoriem)</t>
  </si>
  <si>
    <t>00311</t>
  </si>
  <si>
    <t>00312</t>
  </si>
  <si>
    <t>Kapitālais remonts un rekonstrukcija</t>
  </si>
  <si>
    <t>Metodiskie norādījumi veidlapas aizpildīšanai:</t>
  </si>
  <si>
    <t>Kopā intelektuālie īpašumi</t>
  </si>
  <si>
    <t>Kopā nekustamie īpašumi</t>
  </si>
  <si>
    <t>Kopā kustamie īpašumi</t>
  </si>
  <si>
    <t>Kopā ieguldījumi</t>
  </si>
  <si>
    <t>Medicīnas un laboratoijas iekārtas t.sk.:</t>
  </si>
  <si>
    <t>Pārējās tehnoloģiskās iekārtas un mašīnas t.sk.:</t>
  </si>
  <si>
    <t>Pārējās licences, koncesijas un patenti, preču zīmes un tamlīdzīgas tiesības t.sk.:</t>
  </si>
  <si>
    <t>Saņemtās pacientu iemaksas (ambulatorai palīdzībai)</t>
  </si>
  <si>
    <t>pacientu iemaksas par atbrīvotajām kategorijām (ambulatorai palīdzībai)</t>
  </si>
  <si>
    <t>Atalgojums (1100)</t>
  </si>
  <si>
    <t>Darba devēja valsts sociālās apdrošināšanas obligātās iemaksas, sociāla rakstura pabalsti un kompensācijas (1200)</t>
  </si>
  <si>
    <t>Mācību, darba un dienesta komandējumi, darba braucieni (2100)</t>
  </si>
  <si>
    <t>Pakalpojumi (2200)</t>
  </si>
  <si>
    <t>Krājumi, materiāli, energoresursi, preces, biroja preces un inventārs, kurus neuzskaita kodā 5000 (2300; bez 2340)</t>
  </si>
  <si>
    <t>Zāles, ķimikālijas, laboratorijas preces, medicīniskās ierīces, medicīniskie instrumenti, laboratorijas dzīvnieki un to uzturēšana (2340)</t>
  </si>
  <si>
    <t>Procentu izdevumi (4000)</t>
  </si>
  <si>
    <t>Pārējie izdevumi (2400;2500; 2800)</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</si>
  <si>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</si>
  <si>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</si>
  <si>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</si>
  <si>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</si>
  <si>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</si>
  <si>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</si>
  <si>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</si>
  <si>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</si>
  <si>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</si>
  <si>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</si>
  <si>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</si>
  <si>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</si>
  <si>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</si>
  <si>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</si>
  <si>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</si>
  <si>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</si>
  <si>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</si>
  <si>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</si>
  <si>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Zāles (medikamenti)</t>
  </si>
  <si>
    <t>Medikamenti noteikto funkciju nodrošināšanai</t>
  </si>
  <si>
    <t>Bezmaksas saņemto medikamentu un medicīnas preču, kas novērtētas naudas izteiksmē izlietojums</t>
  </si>
  <si>
    <t>Darba devēja pabalsti un kompensācijas, no kā neaprēķina iedzīvotāju ienākuma nodokli un valsts sociālās apdrošināšanas obligātās iemaksas</t>
  </si>
  <si>
    <t>Citi ieņēmumi (Ieņēmumi no bez atlīdzības saņemtajām precēm, investīcijām u.tml.)</t>
  </si>
  <si>
    <t>Izdarīto operāciju skaits diennakts stacionārā</t>
  </si>
  <si>
    <t>Ārstēšanas vidējais ilgums diennakts stacionārā (dienas)</t>
  </si>
  <si>
    <t>23321</t>
  </si>
  <si>
    <t>233211</t>
  </si>
  <si>
    <t>23322</t>
  </si>
  <si>
    <t>233221</t>
  </si>
  <si>
    <t>23350</t>
  </si>
  <si>
    <t>23330</t>
  </si>
  <si>
    <t>23340</t>
  </si>
  <si>
    <t>II  IZDEVUMI SAIMNIECISKĀS DARBĪBAS NODROŠINĀŠANAI KOPĀ</t>
  </si>
  <si>
    <t>Sterilizācijas un dezinfekcijas līdzekļi</t>
  </si>
  <si>
    <t>Laboratorijas preces</t>
  </si>
  <si>
    <t>Vidējais gultu skaits dienas stacionārā</t>
  </si>
  <si>
    <t>232501</t>
  </si>
  <si>
    <t>232511</t>
  </si>
  <si>
    <t>23230</t>
  </si>
  <si>
    <t>PEĻŅA PIRMS AMORTIZĀCIJAS UN PĀRĒJIEM IEŅĒMUMIEM</t>
  </si>
  <si>
    <t>PEĻŅA PIRMS PĀRĒJIEM IEŅĒMUMIEM, IZDEVUMIEM UN ĀRKĀRTAS IEŅĒMUMIEM</t>
  </si>
  <si>
    <t>Ieņēmumi no pārdotiem materiāliem un pamatlīdzekļiem</t>
  </si>
  <si>
    <t>Procentu maksājumi ārvalstu un starptautiskajām finanšu institūcijām par aizņēmumiem un vērtspapīriem</t>
  </si>
  <si>
    <t>Uzkrājums atvaļinājumu rezervēm,piem., uzņēmuma vadītājiem par pārskata gadu</t>
  </si>
  <si>
    <t>Ieņēmumos ieskaitītās dotācijas, dāvinājumi atbilstoši dāvināto pamatlīdzekļu nolietojumam par pārskata periodu</t>
  </si>
  <si>
    <t>Asins iegāde</t>
  </si>
  <si>
    <t>23351</t>
  </si>
  <si>
    <t>Medicīnas preces un instrumenti, laboratorijas dzīvnieki un to uzturēšana</t>
  </si>
  <si>
    <t>Izdarīto operāciju skaits dienas stacionārā</t>
  </si>
  <si>
    <t>Palīgtelpas (garāžas, šķūņi, katlumājas utt.)</t>
  </si>
  <si>
    <t>Bilances posteņi</t>
  </si>
  <si>
    <t>Pašu kapitāls</t>
  </si>
  <si>
    <t>Pamatkapitāls</t>
  </si>
  <si>
    <t>Pārējās rezerves</t>
  </si>
  <si>
    <t>Nesadalītā peļņa:</t>
  </si>
  <si>
    <t>Iepriekšējo gadu nesadalītā peļņa</t>
  </si>
  <si>
    <t>Pārskata gada nesadalītā peļņa</t>
  </si>
  <si>
    <t>Uzkrājumi</t>
  </si>
  <si>
    <t>Kreditori</t>
  </si>
  <si>
    <t>Ilgtermiņa kreditori</t>
  </si>
  <si>
    <t>Aizņēmumi no kredītiestādēm</t>
  </si>
  <si>
    <t>Atliktā uzņēmuma ienākuma nodokļa saistības</t>
  </si>
  <si>
    <t>Citi aizņēmumi</t>
  </si>
  <si>
    <t>Nākamo periodu ieņēmumi</t>
  </si>
  <si>
    <t>Citi kreditori</t>
  </si>
  <si>
    <t>Īstermiņa kreditori</t>
  </si>
  <si>
    <t>No pircējiem saņemtie avansi</t>
  </si>
  <si>
    <t>Parādi piegādātājiem un darbuzņēmējiem</t>
  </si>
  <si>
    <t>Nodokļi un sociālās nodroš.maksājumi</t>
  </si>
  <si>
    <t>Pārējie kreditori</t>
  </si>
  <si>
    <t>Uzkrātās saistības</t>
  </si>
  <si>
    <t>PASĪVU KOPSUMMA (45 000+46 000+47 000+48 000)</t>
  </si>
  <si>
    <t>Ilgtermiņa ieguldījumi</t>
  </si>
  <si>
    <t>Nemateriālie ieguldījumi</t>
  </si>
  <si>
    <t>Koncesijas,patenti,licences</t>
  </si>
  <si>
    <t>Avansa maksājumi par nemater.ieguldījumiem</t>
  </si>
  <si>
    <t>Pamatlīdzekļi</t>
  </si>
  <si>
    <t>Zemes gabali,ēkas un būves un ilggadīgie stādījumi</t>
  </si>
  <si>
    <t>Iekārtas un mašīnas</t>
  </si>
  <si>
    <t>Pārējie pamatlīdzekļi un inventārs</t>
  </si>
  <si>
    <t>Pamatl.izveidošana un nepab.celtniecība</t>
  </si>
  <si>
    <t>Avansa maksājumi par pamatlīdzekļiem</t>
  </si>
  <si>
    <t>Ieguldījumi nomātos pamatlīdzekļos</t>
  </si>
  <si>
    <t>Ilgtermiņa finanšu ieguldījumi</t>
  </si>
  <si>
    <t>Līdzdalība radniecīgo uzņēmumu kapitālā</t>
  </si>
  <si>
    <t>Pārējie vērtspapīri un ieguldījumi fondos</t>
  </si>
  <si>
    <t>Apgrozāmie līdzekļi</t>
  </si>
  <si>
    <t>Krājumi</t>
  </si>
  <si>
    <t>Izejvielas, pamatmateriāli un palīgmateriāli</t>
  </si>
  <si>
    <t>Gatavie ražojumi un preces pārdošanai</t>
  </si>
  <si>
    <t>Avansa maksājumi par precēm</t>
  </si>
  <si>
    <t>Debitori</t>
  </si>
  <si>
    <t>Pircēju,pasūtītāju parādi</t>
  </si>
  <si>
    <t>Radniecīgo uzņēmumu parādi</t>
  </si>
  <si>
    <t>Citi debitori</t>
  </si>
  <si>
    <t>Nākamo periodu izmaksas</t>
  </si>
  <si>
    <t>Uzkrātie ieņēmumi</t>
  </si>
  <si>
    <t>Nauda</t>
  </si>
  <si>
    <t>AKTĪVU KOPSUMMA (50 000+51 000)</t>
  </si>
  <si>
    <t>Kredītsaistības  (21 000+22 000)</t>
  </si>
  <si>
    <t xml:space="preserve">Ilgtermiņa kredītsaistības kopā </t>
  </si>
  <si>
    <t xml:space="preserve">Īstermiņa kredītsaistības kopā </t>
  </si>
  <si>
    <t>00150</t>
  </si>
  <si>
    <t>Finansējums Tehnisko palīglīdzekļu centra funkciju nodrošināšanai</t>
  </si>
  <si>
    <t>00212</t>
  </si>
  <si>
    <t>Veselības aprūpes pakalpojumiem</t>
  </si>
  <si>
    <t>Sociāliem pakalpojumiem</t>
  </si>
  <si>
    <t>Skaidrojumi</t>
  </si>
  <si>
    <t>Ieņēmumi par valsts finansēto zinātnisko darbību (TOP; GRANTI)</t>
  </si>
  <si>
    <t>Pārējie komandējumu un darba braucienu izdevumi</t>
  </si>
  <si>
    <t>Izdevumi par sakaru pakalpojumiem</t>
  </si>
  <si>
    <t>Izdevumi par siltumenerģiju</t>
  </si>
  <si>
    <t>Izdevumi par ūdensapgādi un kanalizāciju</t>
  </si>
  <si>
    <t>Dažādi pakalpojumi</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</si>
  <si>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</si>
  <si>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</si>
  <si>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</si>
  <si>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</si>
  <si>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</si>
  <si>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</si>
  <si>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</si>
  <si>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</si>
  <si>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</si>
  <si>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</si>
  <si>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</si>
  <si>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</si>
  <si>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</si>
  <si>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</si>
  <si>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</si>
  <si>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</si>
  <si>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</si>
  <si>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</si>
  <si>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Valsts budžeta (Valsts kases) procentu maksājumi</t>
  </si>
  <si>
    <t>Pārējie iepriekš neklasificētie procentu maksājumi</t>
  </si>
  <si>
    <t>Nemateriālo ieguldījumu nolietojums</t>
  </si>
  <si>
    <t>Rādītāja nosaukums</t>
  </si>
  <si>
    <t>Neto apgrozījums</t>
  </si>
  <si>
    <t>Pārdotās produkcijas ražošanas izmaksas</t>
  </si>
  <si>
    <t>Bruto peļņa vai zaudējumi (no apgrozījuma)</t>
  </si>
  <si>
    <t>Pārdošanas izmaksas</t>
  </si>
  <si>
    <t>Administrācijas izmaksas</t>
  </si>
  <si>
    <t xml:space="preserve">Pārējie saimnieciskās darbības ieņēmumi </t>
  </si>
  <si>
    <t>Pārējie saimnieciskās darbības izmaksas</t>
  </si>
  <si>
    <t>Ieņēmumi no līdzdalības meitas un asociēto sabiedrību kapitālos</t>
  </si>
  <si>
    <t>Ieņēmumi no vērtspapīriem un aizdevumiem, kas veidojuši ilgtermiņa aizdevumus</t>
  </si>
  <si>
    <t>Pārējie procentu ieņēmumi un tamlīdzīgi ieņēmumi</t>
  </si>
  <si>
    <t>Ilgtermiņa finanšu ieguldījumi un īstermiņa vērtspapīru vērtības norakstīšana</t>
  </si>
  <si>
    <t>Procentu maksājumi un tamlīdzīgas izmaksas</t>
  </si>
  <si>
    <t>Peļņa vai zaudējumi pirms ārkārtas posteņiem un nodokļiem</t>
  </si>
  <si>
    <t>Ārkārtas ieņēmumi</t>
  </si>
  <si>
    <t>Ārkārtas izmaksas</t>
  </si>
  <si>
    <t>Ārkārtas peļņa vai zaudējumi pirms nodokļiem</t>
  </si>
  <si>
    <t>Uzņēmuma ienākuma nodoklis par pārskata periodu</t>
  </si>
  <si>
    <t>Atliktā nodokļa ieņēmumi vai izmaksas</t>
  </si>
  <si>
    <t>Pārējie nodokļi</t>
  </si>
  <si>
    <t>Pārskata perioda peļņa vai zaudējumi pēc nodokļiem</t>
  </si>
  <si>
    <t>Nr.p.k.</t>
  </si>
  <si>
    <t>2019.gada izpilde</t>
  </si>
  <si>
    <t>2020.gada
 3 mēn. plāns</t>
  </si>
  <si>
    <t>2020.gada
 6 mēn. plāns</t>
  </si>
  <si>
    <t>2020.gada
 9 mēn. plāns</t>
  </si>
  <si>
    <t>2020.gada
 12 mēn. plāns</t>
  </si>
  <si>
    <t>2019.gada plāns</t>
  </si>
  <si>
    <t>Naudas plūsmas pozīcijas</t>
  </si>
  <si>
    <t>Citi ieņēmumi (piem.reģistru uztur., retajiem medikam. utt.)</t>
  </si>
  <si>
    <r>
      <t xml:space="preserve">Eiropas Struktūrfondi investīcijām kopā </t>
    </r>
    <r>
      <rPr>
        <i/>
        <sz val="14"/>
        <rFont val="Times New Roman"/>
        <family val="1"/>
      </rPr>
      <t>(sadalījumā pa projektiem un/vai finansējuma mērķiem)</t>
    </r>
  </si>
  <si>
    <t>VESELĪBAS APRŪPE</t>
  </si>
  <si>
    <t>Neatliekamās medicīniskās palīdzības sniegšana uzņemšanas nodaļā (t.sk. traumpunktā), izslēdzot dzemdības un plānveida hospitalizācijas</t>
  </si>
  <si>
    <t>Kopējais pacientu skaits periodā, kas vērsušies NMPUN, t.sk.</t>
  </si>
  <si>
    <t>Pacientu skaits periodā, kuri pēc observācijas novirzīti turpmākai ambulatorai ārstēšanai</t>
  </si>
  <si>
    <t>Pacientu skaits periodā, kuri pēc observācijas stacionēti</t>
  </si>
  <si>
    <t>23212</t>
  </si>
  <si>
    <t>Kopējais stacionēto pacientu skaits no NMPUN (23112+231132)</t>
  </si>
  <si>
    <t>23213</t>
  </si>
  <si>
    <t>23214</t>
  </si>
  <si>
    <t>23215</t>
  </si>
  <si>
    <t>Observācijas gadījumu īpatsvars no kopējā gadījumu skaita uzņemšanas nodaļā (23113/23110), %</t>
  </si>
  <si>
    <t>STACIONĀRĀ VESELĪBAS APRŪPE</t>
  </si>
  <si>
    <t>Kopējais gultu dienu skaits</t>
  </si>
  <si>
    <t>Stacionārā pacienta dienas vidējā realizācijas maksa, EUR</t>
  </si>
  <si>
    <t>Stacionārā pacienta dienas vidējā pašizmaksa, EUR</t>
  </si>
  <si>
    <t>23252</t>
  </si>
  <si>
    <t>232521</t>
  </si>
  <si>
    <t>AMBULATORĀ VESELĪBAS APRŪPE</t>
  </si>
  <si>
    <t>Ambulatoro apmeklējumu skaits, t.sk.</t>
  </si>
  <si>
    <t>Valsts apmaksātie ambulatorie pakalpojumi</t>
  </si>
  <si>
    <t>Maksas ambulatorie pakalpojumi</t>
  </si>
  <si>
    <t>SOCIĀLĀ REHABILITĀCIJA</t>
  </si>
  <si>
    <t>SOCIĀlĀ APRŪPE</t>
  </si>
  <si>
    <t>PERSONĀLA RĀDĪTĀJI</t>
  </si>
  <si>
    <t>26500</t>
  </si>
  <si>
    <t>Citi personāla rādītāji</t>
  </si>
  <si>
    <t>26510</t>
  </si>
  <si>
    <t>Darbinieku mainība,%</t>
  </si>
  <si>
    <t>26520</t>
  </si>
  <si>
    <t>Vidējais nostrādāto virsstundu skaits uz vienu ārtsniecības personu, kas attiecīgā periodā veic virsstundu darbu</t>
  </si>
  <si>
    <t>26530</t>
  </si>
  <si>
    <t>26540</t>
  </si>
  <si>
    <t>Strādājošo 25-40 gadus veco ārstniecības personu īpatsvars no kopējā ārstniecības personu skaita,%</t>
  </si>
  <si>
    <t>PĀRĒJIE RĀDĪTĀJI</t>
  </si>
  <si>
    <t>28000</t>
  </si>
  <si>
    <t>MEDIKAMENTI UN MEDICĪNAS PRECES</t>
  </si>
  <si>
    <t>28100</t>
  </si>
  <si>
    <t xml:space="preserve">projektu vadītājiem, departamentu direktoriem un to vietniekiem, tehniskajam direktoram, kā arī sekojošām struktūrvienībām: komunikācijas, personāla vadības, finanšu, </t>
  </si>
  <si>
    <r>
      <t xml:space="preserve">Pacientu skaits periodā, kuriem sniegta neatliekamā medicīniskā palīdzība un </t>
    </r>
    <r>
      <rPr>
        <i/>
        <sz val="14"/>
        <rFont val="Times New Roman"/>
        <family val="1"/>
      </rPr>
      <t>tie novirzīti turpmākai ambulatorai ārstēšanai</t>
    </r>
  </si>
  <si>
    <r>
      <t>Pacientu skaits periodā,</t>
    </r>
    <r>
      <rPr>
        <i/>
        <sz val="14"/>
        <rFont val="Times New Roman"/>
        <family val="1"/>
      </rPr>
      <t xml:space="preserve"> kuri stacionēti (bez observācijas)</t>
    </r>
  </si>
  <si>
    <r>
      <t xml:space="preserve">Pacientu skaits periodā, </t>
    </r>
    <r>
      <rPr>
        <i/>
        <sz val="14"/>
        <rFont val="Times New Roman"/>
        <family val="1"/>
      </rPr>
      <t>kuriem nodrošināts observācijas pakalpojums, t.sk.</t>
    </r>
  </si>
  <si>
    <r>
      <t>Vidējais</t>
    </r>
    <r>
      <rPr>
        <vertAlign val="superscript"/>
        <sz val="14"/>
        <rFont val="Times New Roman"/>
        <family val="1"/>
      </rPr>
      <t>1</t>
    </r>
    <r>
      <rPr>
        <sz val="14"/>
        <rFont val="Times New Roman"/>
        <family val="1"/>
      </rPr>
      <t xml:space="preserve"> observācijas gultu skaits</t>
    </r>
  </si>
  <si>
    <r>
      <t>Kopējais hospitalizācijas</t>
    </r>
    <r>
      <rPr>
        <vertAlign val="superscript"/>
        <sz val="14"/>
        <rFont val="Times New Roman"/>
        <family val="1"/>
      </rPr>
      <t>2</t>
    </r>
    <r>
      <rPr>
        <sz val="14"/>
        <rFont val="Times New Roman"/>
        <family val="1"/>
      </rPr>
      <t xml:space="preserve"> gadījumu skaits, t.sk.</t>
    </r>
  </si>
  <si>
    <r>
      <t>Plānveida hospitalizācijas</t>
    </r>
    <r>
      <rPr>
        <vertAlign val="superscript"/>
        <sz val="14"/>
        <rFont val="Times New Roman"/>
        <family val="1"/>
      </rPr>
      <t>2</t>
    </r>
    <r>
      <rPr>
        <sz val="14"/>
        <rFont val="Times New Roman"/>
        <family val="1"/>
      </rPr>
      <t xml:space="preserve"> gadījumu skaits, t.sk.:</t>
    </r>
  </si>
  <si>
    <r>
      <t>Neatliekamo hospitalizāciju</t>
    </r>
    <r>
      <rPr>
        <vertAlign val="superscript"/>
        <sz val="14"/>
        <rFont val="Times New Roman"/>
        <family val="1"/>
      </rPr>
      <t>2</t>
    </r>
    <r>
      <rPr>
        <sz val="14"/>
        <rFont val="Times New Roman"/>
        <family val="1"/>
      </rPr>
      <t xml:space="preserve"> gadījumu skaits, t.sk.:</t>
    </r>
  </si>
  <si>
    <r>
      <t xml:space="preserve">Klienta dienas vidējā realizācijas maksa, </t>
    </r>
    <r>
      <rPr>
        <i/>
        <sz val="14"/>
        <rFont val="Times New Roman"/>
        <family val="1"/>
      </rPr>
      <t>euro</t>
    </r>
  </si>
  <si>
    <r>
      <t xml:space="preserve">Klienta dienas vidējā pašizmaksa, </t>
    </r>
    <r>
      <rPr>
        <i/>
        <sz val="14"/>
        <rFont val="Times New Roman"/>
        <family val="1"/>
      </rPr>
      <t>euro</t>
    </r>
  </si>
  <si>
    <r>
      <t xml:space="preserve">Vidējais sociālās aprūpes ilgums, </t>
    </r>
    <r>
      <rPr>
        <i/>
        <sz val="14"/>
        <rFont val="Times New Roman"/>
        <family val="1"/>
      </rPr>
      <t xml:space="preserve">dienas </t>
    </r>
  </si>
  <si>
    <r>
      <t>Ārsti</t>
    </r>
    <r>
      <rPr>
        <vertAlign val="superscript"/>
        <sz val="14"/>
        <rFont val="Times New Roman"/>
        <family val="1"/>
      </rPr>
      <t>3</t>
    </r>
  </si>
  <si>
    <r>
      <t>Ārstniecības un pacientu aprūpes personāls</t>
    </r>
    <r>
      <rPr>
        <vertAlign val="superscript"/>
        <sz val="14"/>
        <rFont val="Times New Roman"/>
        <family val="1"/>
      </rPr>
      <t>4</t>
    </r>
  </si>
  <si>
    <r>
      <t>Ārstniecības un pacientu aprūpes atbalsta personāls</t>
    </r>
    <r>
      <rPr>
        <vertAlign val="superscript"/>
        <sz val="14"/>
        <rFont val="Times New Roman"/>
        <family val="1"/>
      </rPr>
      <t>5</t>
    </r>
  </si>
  <si>
    <r>
      <t>Administrācija</t>
    </r>
    <r>
      <rPr>
        <vertAlign val="superscript"/>
        <sz val="14"/>
        <rFont val="Times New Roman"/>
        <family val="1"/>
      </rPr>
      <t>6</t>
    </r>
  </si>
  <si>
    <r>
      <t>Pārējais personāls (t.sk. sanitāri)</t>
    </r>
    <r>
      <rPr>
        <vertAlign val="superscript"/>
        <sz val="14"/>
        <rFont val="Times New Roman"/>
        <family val="1"/>
      </rPr>
      <t>7</t>
    </r>
  </si>
  <si>
    <r>
      <t xml:space="preserve">Darbinieku </t>
    </r>
    <r>
      <rPr>
        <b/>
        <u/>
        <sz val="14"/>
        <rFont val="Times New Roman"/>
        <family val="1"/>
      </rPr>
      <t xml:space="preserve">vidējie </t>
    </r>
    <r>
      <rPr>
        <b/>
        <sz val="14"/>
        <rFont val="Times New Roman"/>
        <family val="1"/>
      </rPr>
      <t xml:space="preserve">ienākumi mēnesī: </t>
    </r>
  </si>
  <si>
    <r>
      <t>Kopējā slimnīcas telpu platība  (m</t>
    </r>
    <r>
      <rPr>
        <vertAlign val="superscript"/>
        <sz val="14"/>
        <rFont val="Times New Roman"/>
        <family val="1"/>
      </rPr>
      <t>2</t>
    </r>
    <r>
      <rPr>
        <sz val="14"/>
        <rFont val="Times New Roman"/>
        <family val="1"/>
      </rPr>
      <t>), t.sk.:</t>
    </r>
  </si>
  <si>
    <r>
      <t>Ūdens patēriņš  ( m</t>
    </r>
    <r>
      <rPr>
        <vertAlign val="superscript"/>
        <sz val="14"/>
        <rFont val="Times New Roman"/>
        <family val="1"/>
      </rPr>
      <t>3</t>
    </r>
    <r>
      <rPr>
        <sz val="14"/>
        <rFont val="Times New Roman"/>
        <family val="1"/>
      </rPr>
      <t>)</t>
    </r>
  </si>
  <si>
    <r>
      <t>Kanalizācija  (m</t>
    </r>
    <r>
      <rPr>
        <vertAlign val="superscript"/>
        <sz val="14"/>
        <rFont val="Times New Roman"/>
        <family val="1"/>
      </rPr>
      <t>3</t>
    </r>
    <r>
      <rPr>
        <sz val="14"/>
        <rFont val="Times New Roman"/>
        <family val="1"/>
      </rPr>
      <t>)</t>
    </r>
  </si>
  <si>
    <r>
      <t>Stacionāro pakalpojumu sniegšanai izmantotie medikamenti uz gultas dienu</t>
    </r>
    <r>
      <rPr>
        <vertAlign val="superscript"/>
        <sz val="14"/>
        <rFont val="Times New Roman"/>
        <family val="1"/>
      </rPr>
      <t>8</t>
    </r>
  </si>
  <si>
    <r>
      <rPr>
        <vertAlign val="superscript"/>
        <sz val="14"/>
        <rFont val="Times New Roman"/>
        <family val="1"/>
      </rPr>
      <t>1</t>
    </r>
    <r>
      <rPr>
        <sz val="14"/>
        <rFont val="Times New Roman"/>
        <family val="1"/>
      </rPr>
      <t>- ar jēdzienu "vidējais" saprotams rādītāja vērtība katra mēneša pēdējā datumā un summu dalot ar mēnešu skaitu pārskata periodā</t>
    </r>
  </si>
  <si>
    <r>
      <rPr>
        <vertAlign val="superscript"/>
        <sz val="14"/>
        <rFont val="Times New Roman"/>
        <family val="1"/>
      </rPr>
      <t>2</t>
    </r>
    <r>
      <rPr>
        <sz val="14"/>
        <rFont val="Times New Roman"/>
        <family val="1"/>
      </rPr>
      <t>- hospitalizāciju skaits, bez fiktīvās izrakstīšanās (kustība 39) attiecīgā perioda ietvaros</t>
    </r>
  </si>
  <si>
    <r>
      <rPr>
        <vertAlign val="superscript"/>
        <sz val="14"/>
        <rFont val="Times New Roman"/>
        <family val="1"/>
      </rPr>
      <t>3</t>
    </r>
    <r>
      <rPr>
        <sz val="14"/>
        <rFont val="Times New Roman"/>
        <family val="1"/>
      </rPr>
      <t>- sertificēti  ārsti, zobārsti un funkcionālie speciālisti, reģistrēti ārsti, zobārsti un funkcionālie speciālisti, rezidenti</t>
    </r>
  </si>
  <si>
    <r>
      <rPr>
        <vertAlign val="superscript"/>
        <sz val="14"/>
        <rFont val="Times New Roman"/>
        <family val="1"/>
      </rPr>
      <t>4</t>
    </r>
    <r>
      <rPr>
        <sz val="14"/>
        <rFont val="Times New Roman"/>
        <family val="1"/>
      </rPr>
      <t>-sertificēti/reģistrēti ārsta palīgi, māsas, vecmātes, biomedicīnas laboranti, radiologa asistenti, radiogrāferi, sertificēti masieri, ergoterapeita asistenti, fizioterapeita asistenti, zobu higiēnisti, zobārstniecības māsas, podologi, zobu tehniķi</t>
    </r>
  </si>
  <si>
    <r>
      <rPr>
        <vertAlign val="superscript"/>
        <sz val="14"/>
        <rFont val="Times New Roman"/>
        <family val="1"/>
      </rPr>
      <t>5</t>
    </r>
    <r>
      <rPr>
        <sz val="14"/>
        <rFont val="Times New Roman"/>
        <family val="1"/>
      </rPr>
      <t>- māsu palīgi, zobārsta asistenti</t>
    </r>
  </si>
  <si>
    <r>
      <rPr>
        <vertAlign val="superscript"/>
        <sz val="14"/>
        <rFont val="Times New Roman"/>
        <family val="1"/>
      </rPr>
      <t>6</t>
    </r>
    <r>
      <rPr>
        <sz val="14"/>
        <rFont val="Times New Roman"/>
        <family val="1"/>
      </rPr>
      <t>- valde, padome, valdes/padomes birojs, ārstniecības personām, kuras tiešā veidā nav saistītas ar pacientu ārstēšanu -  klīniku vadītājiem, virsārstiem, profila virsārstiem, vecākajiem ārstiem, galvenajām māsām, ārstiem koordinatoriem u.c</t>
    </r>
  </si>
  <si>
    <r>
      <rPr>
        <vertAlign val="superscript"/>
        <sz val="14"/>
        <rFont val="Times New Roman"/>
        <family val="1"/>
      </rPr>
      <t>7</t>
    </r>
    <r>
      <rPr>
        <sz val="14"/>
        <rFont val="Times New Roman"/>
        <family val="1"/>
      </rPr>
      <t>- Saimnieciskais personāls, ārstniecības un aprūpes procesu atbalsta personāls (t.sk. sanitāri)</t>
    </r>
  </si>
  <si>
    <r>
      <rPr>
        <vertAlign val="superscript"/>
        <sz val="14"/>
        <rFont val="Times New Roman"/>
        <family val="1"/>
      </rPr>
      <t>8</t>
    </r>
    <r>
      <rPr>
        <sz val="14"/>
        <rFont val="Times New Roman"/>
        <family val="1"/>
      </rPr>
      <t>- Medikamenti, medicīnas preces, implanti, sterilizācijas materiāli, medicīnas instrumenti, laboratorijas preces stacionāro pakalpojumu nodrošināšanai (bez bezmaksas medikamnetiem un med. Precēm)/ Stacionāra gultu dienu skaits</t>
    </r>
  </si>
  <si>
    <t>Kopējais stacionēto pacientu īpatsvars  no kopējā gadījumu skaita uzņemšanas nodaļā, % (23212/23110)</t>
  </si>
  <si>
    <r>
      <t>Valsts apmaksāto hospitalizācijas</t>
    </r>
    <r>
      <rPr>
        <i/>
        <vertAlign val="superscript"/>
        <sz val="14"/>
        <rFont val="Times New Roman"/>
        <family val="1"/>
      </rPr>
      <t>2</t>
    </r>
    <r>
      <rPr>
        <i/>
        <sz val="14"/>
        <rFont val="Times New Roman"/>
        <family val="1"/>
      </rPr>
      <t xml:space="preserve"> gadījumu skaits</t>
    </r>
  </si>
  <si>
    <r>
      <t>Valsts apmaksāto plānveida hospitalizācijas</t>
    </r>
    <r>
      <rPr>
        <i/>
        <vertAlign val="superscript"/>
        <sz val="14"/>
        <rFont val="Times New Roman"/>
        <family val="1"/>
      </rPr>
      <t>2</t>
    </r>
    <r>
      <rPr>
        <i/>
        <sz val="14"/>
        <rFont val="Times New Roman"/>
        <family val="1"/>
      </rPr>
      <t xml:space="preserve"> gadījumu skaits</t>
    </r>
  </si>
  <si>
    <r>
      <t>Valsts apmaksāto neatliekamo hospitalizācijas</t>
    </r>
    <r>
      <rPr>
        <i/>
        <vertAlign val="superscript"/>
        <sz val="14"/>
        <rFont val="Times New Roman"/>
        <family val="1"/>
      </rPr>
      <t>2</t>
    </r>
    <r>
      <rPr>
        <i/>
        <sz val="14"/>
        <rFont val="Times New Roman"/>
        <family val="1"/>
      </rPr>
      <t xml:space="preserve"> gadījumu skaits</t>
    </r>
  </si>
  <si>
    <t>Vidējais gultu noslogojums diennakts stacionārā, %</t>
  </si>
  <si>
    <t>Vidējais gultu noslogojums dienas stacionārā, %</t>
  </si>
  <si>
    <t>16 Izdevumi kapitālajiem ieguldījumiem nomātajos pamatlīdzekļos</t>
  </si>
  <si>
    <t>2 Attīstības pasākumu un programmu izmaksas un izdevumus, ja zināms, ka projektu pabeigs un no projekta rezultātiem budžeta iestāde turpmāk gūs labumu. Attīstības pasākumi un programmas ir pētniecības, atklājumu vai citu zināšanu izmantošana jaunu (vai būtiski uzlabotu) materiālu, ierīču, produktu, procesu, sistēmu vai pakalpojumu ražošanas plānā vai izstrādē pirms komerciālas ražošanas vai izmantošanas uzsākšanas. Šo kodu piemēro arī tehniskajām izstrādēm, kas sagatavo pētniecības rezultātu līdz izmēģinājuma paraugam</t>
  </si>
  <si>
    <t>3 Izdevumi datorprogrammām un to licencēm</t>
  </si>
  <si>
    <t>4 Izdevumi pārējiem iepriekš neklasificētiem nemateriāliem aktīviem</t>
  </si>
  <si>
    <t>5 Izdevumi nedzīvojamām ēkām, kuras izmanto pašu vajadzībām, kā arī izīrējamām un iznomājamām nedzīvojamām ēkām. Nedzīvojamās ēkas ir ēkas, kuras netiek izmantotas vai nav paredzētas dzīvošanai, ieskaitot aprīkojumu, ierīces un iekārtas, kas ir ēku neatņemama sastāvdaļa.</t>
  </si>
  <si>
    <t>6 Izdevumi zemes iegādei, uz kuras uzbūvētas ēkas vai to pamati. Piemēro arī pagalmu, dārzu teritoriju un to iebrauktuvju (ko uzskata par mājas neatdalāmu sastāvdaļu) iegādes izmaksām.</t>
  </si>
  <si>
    <t>7 Izdevumi pārējās iepriekš neklasificētās zemes (karjeri, kapu teritorijas, meža zemes) iegādei</t>
  </si>
  <si>
    <t>8 Izdevumi celtnēm, būvēm, izbūvēm, ieskaitot aprīkojumu, ierīces un iekārtas, kas ir celtņu un būvju neatņemama sastāvdaļa (ūdens uzkrāšanas būves, meliorācijas sistēmas, sakaru un elektropārvades līnijas, cauruļvadus, ūdensvadu, siltumtrašu, kanalizācijas tīklus, sporta, atpūtas būves un citas būves un celtnes).</t>
  </si>
  <si>
    <t>9 Izdevumi pārējā iepriekš neklasificētā nekustamā īpašuma iegādei</t>
  </si>
  <si>
    <t>10 Izdevumi nepabeigtajai būvniecībai līdz objekta nodošanai ekspluatācijā</t>
  </si>
  <si>
    <t>11 Izdevumi iekārtām un mašīnām, ko izmanto budžeta iestādes pašas vajadzībām tās funkciju vai pakalpojumu izpildes nodrošināšanai (iekārtas, mēraparatūra, regulēšanas ierīces, laboratoriju un medicīnas iekārtas)</t>
  </si>
  <si>
    <t>12 Izdevumi tādiem pamatlīdzekļiem kā automobiļi, motocikli, velosipēdi, piekabes, puspiekabes, dzelzceļa lokomotīves un citi transportlīdzekļi</t>
  </si>
  <si>
    <t>13 Izdevumi tādiem pamatlīdzekļiem kā kancelejas mēbeles, ledusskapji, televizori, mikroviļņu krāsnis, lustras un pārējā telpu iekārta. Kodā uzskaita tos pamatlīdzekļus, kurus izmanto iestādes saimnieciskās darbības nodrošināšanai</t>
  </si>
  <si>
    <t>14 Izdevumiem tādiem ilgtermiņa aktīviem kā datori, serveri, kopētāji, faksa aparāti, telefoni, telefonu centrāles un cita biroja tehnika</t>
  </si>
  <si>
    <t>15 Izdvumi citu iepriekš neklasificētu pamatlīdzekļu iegādei un izdevumu atzīšanā</t>
  </si>
  <si>
    <r>
      <t xml:space="preserve">Attīstības pasākumi un programmas </t>
    </r>
    <r>
      <rPr>
        <vertAlign val="superscript"/>
        <sz val="14"/>
        <rFont val="Times New Roman"/>
        <family val="1"/>
      </rPr>
      <t xml:space="preserve">2 </t>
    </r>
    <r>
      <rPr>
        <sz val="14"/>
        <rFont val="Times New Roman"/>
        <family val="1"/>
      </rPr>
      <t xml:space="preserve"> t.sk.:</t>
    </r>
  </si>
  <si>
    <r>
      <t xml:space="preserve">Datorprogrammas </t>
    </r>
    <r>
      <rPr>
        <vertAlign val="superscript"/>
        <sz val="14"/>
        <rFont val="Times New Roman"/>
        <family val="1"/>
      </rPr>
      <t xml:space="preserve">3 </t>
    </r>
    <r>
      <rPr>
        <sz val="14"/>
        <rFont val="Times New Roman"/>
        <family val="1"/>
      </rPr>
      <t xml:space="preserve"> t.sk.:</t>
    </r>
  </si>
  <si>
    <r>
      <t xml:space="preserve">Pārējie nemateriālie ieguldījumi </t>
    </r>
    <r>
      <rPr>
        <vertAlign val="superscript"/>
        <sz val="14"/>
        <rFont val="Times New Roman"/>
        <family val="1"/>
      </rPr>
      <t>4</t>
    </r>
    <r>
      <rPr>
        <sz val="14"/>
        <rFont val="Times New Roman"/>
        <family val="1"/>
      </rPr>
      <t xml:space="preserve">  t.sk.:</t>
    </r>
  </si>
  <si>
    <r>
      <t xml:space="preserve">Nedzīvojamās ēkas </t>
    </r>
    <r>
      <rPr>
        <vertAlign val="superscript"/>
        <sz val="14"/>
        <rFont val="Times New Roman"/>
        <family val="1"/>
      </rPr>
      <t>5</t>
    </r>
  </si>
  <si>
    <r>
      <t xml:space="preserve">Zeme zem ēkām un būvēm </t>
    </r>
    <r>
      <rPr>
        <vertAlign val="superscript"/>
        <sz val="14"/>
        <rFont val="Times New Roman"/>
        <family val="1"/>
      </rPr>
      <t>6</t>
    </r>
  </si>
  <si>
    <r>
      <t xml:space="preserve">Pārējā zeme </t>
    </r>
    <r>
      <rPr>
        <vertAlign val="superscript"/>
        <sz val="14"/>
        <rFont val="Times New Roman"/>
        <family val="1"/>
      </rPr>
      <t>7</t>
    </r>
  </si>
  <si>
    <r>
      <t xml:space="preserve">Celtnes un būves </t>
    </r>
    <r>
      <rPr>
        <vertAlign val="superscript"/>
        <sz val="14"/>
        <rFont val="Times New Roman"/>
        <family val="1"/>
      </rPr>
      <t>8</t>
    </r>
  </si>
  <si>
    <r>
      <t xml:space="preserve">Pārējais nekustamais īpašums </t>
    </r>
    <r>
      <rPr>
        <vertAlign val="superscript"/>
        <sz val="14"/>
        <rFont val="Times New Roman"/>
        <family val="1"/>
      </rPr>
      <t>9</t>
    </r>
  </si>
  <si>
    <r>
      <t xml:space="preserve">Nepabeigtā būvniecība </t>
    </r>
    <r>
      <rPr>
        <vertAlign val="superscript"/>
        <sz val="14"/>
        <rFont val="Times New Roman"/>
        <family val="1"/>
      </rPr>
      <t>10</t>
    </r>
  </si>
  <si>
    <r>
      <t xml:space="preserve">Tehnoloģiskās iekārtas un mašīnas </t>
    </r>
    <r>
      <rPr>
        <vertAlign val="superscript"/>
        <sz val="14"/>
        <rFont val="Times New Roman"/>
        <family val="1"/>
      </rPr>
      <t xml:space="preserve">11 </t>
    </r>
    <r>
      <rPr>
        <sz val="14"/>
        <rFont val="Times New Roman"/>
        <family val="1"/>
      </rPr>
      <t xml:space="preserve"> t.sk.:</t>
    </r>
  </si>
  <si>
    <r>
      <t xml:space="preserve">Transportlīdzekļi </t>
    </r>
    <r>
      <rPr>
        <vertAlign val="superscript"/>
        <sz val="14"/>
        <rFont val="Times New Roman"/>
        <family val="1"/>
      </rPr>
      <t xml:space="preserve">12 </t>
    </r>
    <r>
      <rPr>
        <sz val="14"/>
        <rFont val="Times New Roman"/>
        <family val="1"/>
      </rPr>
      <t xml:space="preserve"> t.sk.:</t>
    </r>
  </si>
  <si>
    <r>
      <t xml:space="preserve">Saimniecības pamatlīdzekļi </t>
    </r>
    <r>
      <rPr>
        <vertAlign val="superscript"/>
        <sz val="14"/>
        <rFont val="Times New Roman"/>
        <family val="1"/>
      </rPr>
      <t>13</t>
    </r>
    <r>
      <rPr>
        <sz val="14"/>
        <rFont val="Times New Roman"/>
        <family val="1"/>
      </rPr>
      <t xml:space="preserve">  t.sk.:</t>
    </r>
  </si>
  <si>
    <r>
      <t xml:space="preserve">Datortehnika, sakaru un cita biroja tehnika </t>
    </r>
    <r>
      <rPr>
        <vertAlign val="superscript"/>
        <sz val="14"/>
        <rFont val="Times New Roman"/>
        <family val="1"/>
      </rPr>
      <t>14</t>
    </r>
    <r>
      <rPr>
        <sz val="14"/>
        <rFont val="Times New Roman"/>
        <family val="1"/>
      </rPr>
      <t xml:space="preserve"> t.sk.:</t>
    </r>
  </si>
  <si>
    <r>
      <t xml:space="preserve">Pārējie iepriekš neklasificētie pamatlīdzekļi </t>
    </r>
    <r>
      <rPr>
        <vertAlign val="superscript"/>
        <sz val="14"/>
        <rFont val="Times New Roman"/>
        <family val="1"/>
      </rPr>
      <t xml:space="preserve">15 </t>
    </r>
    <r>
      <rPr>
        <sz val="14"/>
        <rFont val="Times New Roman"/>
        <family val="1"/>
      </rPr>
      <t xml:space="preserve"> t.sk.:</t>
    </r>
  </si>
  <si>
    <r>
      <t xml:space="preserve">Ilgtermiņa ieguldījumi nomātajos pamatlīdzekļos </t>
    </r>
    <r>
      <rPr>
        <vertAlign val="superscript"/>
        <sz val="14"/>
        <rFont val="Times New Roman"/>
        <family val="1"/>
      </rPr>
      <t>16</t>
    </r>
    <r>
      <rPr>
        <sz val="14"/>
        <rFont val="Times New Roman"/>
        <family val="1"/>
      </rPr>
      <t xml:space="preserve"> t.sk.:</t>
    </r>
  </si>
  <si>
    <r>
      <t xml:space="preserve">Ieguldījumu pozīcija </t>
    </r>
    <r>
      <rPr>
        <vertAlign val="superscript"/>
        <sz val="14"/>
        <rFont val="Times New Roman"/>
        <family val="1"/>
      </rPr>
      <t>1</t>
    </r>
  </si>
  <si>
    <t>no ESF (Eiropas Struktūrfondi) līdzekļiem (sadalījumā pa projektiem), t.sk.</t>
  </si>
  <si>
    <t>no VGA (Valsts galvotais aizdevums) līdzekļiem (sadalījumā pa projektiem), t.sk.</t>
  </si>
  <si>
    <t>no Valsts budžeta līdzekļiem (sadalījumā pa pasākumiem/projektiem), t.sk.</t>
  </si>
  <si>
    <t>no pašu līdzekļiem (sadalījumā pa pasākumiem/projektiem), t.sk.</t>
  </si>
  <si>
    <t>no citiem līdzekļiem (sadalījumā pa pasākumiem/projektiem), t.sk.</t>
  </si>
  <si>
    <t>no ESF (Eiropas Struktūrfondi) līdzekļiem  (sadalījumā pa projektiem), t.sk.</t>
  </si>
  <si>
    <r>
      <t xml:space="preserve">Dotācija no pašvaldības budžeta kopā </t>
    </r>
    <r>
      <rPr>
        <i/>
        <sz val="14"/>
        <rFont val="Times New Roman"/>
        <family val="1"/>
      </rPr>
      <t>(sadalījumā pa projektiem un/vai finansējuma mērķiem), t.sk.</t>
    </r>
  </si>
  <si>
    <r>
      <t xml:space="preserve">Valsts budžeta līdzekļi kopā </t>
    </r>
    <r>
      <rPr>
        <i/>
        <sz val="14"/>
        <rFont val="Times New Roman"/>
        <family val="1"/>
      </rPr>
      <t>(sadalījumā pa projektiem un/vai finansējuma mērķiem), t.sk.</t>
    </r>
  </si>
  <si>
    <r>
      <t xml:space="preserve">Citi līdzekļi kopā </t>
    </r>
    <r>
      <rPr>
        <i/>
        <sz val="14"/>
        <rFont val="Times New Roman"/>
        <family val="1"/>
      </rPr>
      <t>(sadalījumā pa projektiem un/vai finansējuma mērķiem), t.sk.</t>
    </r>
  </si>
  <si>
    <r>
      <t xml:space="preserve">Ziedojumi </t>
    </r>
    <r>
      <rPr>
        <i/>
        <sz val="14"/>
        <rFont val="Times New Roman"/>
        <family val="1"/>
      </rPr>
      <t>(sadalījumā pa projektiem un/vai finansējuma mērķiem), t.sk.</t>
    </r>
  </si>
  <si>
    <r>
      <t xml:space="preserve">Pamatlīdzekļu un nemateriālo ieguldījumu iegāde kopā </t>
    </r>
    <r>
      <rPr>
        <b/>
        <vertAlign val="superscript"/>
        <sz val="14"/>
        <rFont val="Times New Roman"/>
        <family val="1"/>
      </rPr>
      <t>1</t>
    </r>
  </si>
  <si>
    <t>1 Aizpildot naudas plūsmas plānu pamatlīdzekļiem un nemateriāliem ieguldījumiem līdzīgie pamatlīdzekļi  pēc nomenklatūras  jāapvieno grupās, norādot iepērkamo pamatlīdzekļu daudzumu</t>
  </si>
  <si>
    <t>1 Aizpildot ieguldījumu tāmi līdzīgie pēc nomenklatūras pamatlīdzekļi un nemateriālie ieguldījumi jāapvieno grupās, norādot iepērkamo pamatlīdzekļu daudzumu</t>
  </si>
  <si>
    <r>
      <t>Atkārtoti hospitalizēto pacientu skaits, neieskaitot pacientus, kuriem nākamā hospitalizācija ir aprūpe vai rehabilitācija</t>
    </r>
    <r>
      <rPr>
        <vertAlign val="superscript"/>
        <sz val="14"/>
        <rFont val="Times New Roman"/>
        <family val="1"/>
      </rPr>
      <t>9</t>
    </r>
  </si>
  <si>
    <r>
      <t>Atkārtoti hospitalizēto pacientu skaits, kuriem nākamā hospitalizācija ir aprūpe,  rehabilitācija vai nākamais ārstēšanas posms</t>
    </r>
    <r>
      <rPr>
        <vertAlign val="superscript"/>
        <sz val="14"/>
        <rFont val="Times New Roman"/>
        <family val="1"/>
      </rPr>
      <t>10</t>
    </r>
  </si>
  <si>
    <r>
      <t>Ambultatori izdarīto operāciju skaits</t>
    </r>
    <r>
      <rPr>
        <vertAlign val="superscript"/>
        <sz val="14"/>
        <rFont val="Times New Roman"/>
        <family val="1"/>
      </rPr>
      <t>11</t>
    </r>
    <r>
      <rPr>
        <sz val="14"/>
        <rFont val="Times New Roman"/>
        <family val="1"/>
      </rPr>
      <t>, t.sk.:</t>
    </r>
  </si>
  <si>
    <t>Ārstniecības personu īpatsvars, kas veic virsstundu darbu, no kopējā ārtsniecības personu skaita, %</t>
  </si>
  <si>
    <r>
      <rPr>
        <vertAlign val="superscript"/>
        <sz val="14"/>
        <rFont val="Times New Roman"/>
        <family val="1"/>
      </rPr>
      <t xml:space="preserve">9 </t>
    </r>
    <r>
      <rPr>
        <sz val="14"/>
        <rFont val="Times New Roman"/>
        <family val="1"/>
      </rPr>
      <t>- rehospitalizāciju skaitā ieskaita pacientus, kas izrakstīti uz mājām (izrakstīšanās kustība 31) un kas atkārtoti hospitalizēti tajā pašā vai nākamajā dienā, izņemot pacientus, kuru nākamā hospitalizācija ir aprūpe vai rehabilitācija</t>
    </r>
  </si>
  <si>
    <r>
      <rPr>
        <vertAlign val="superscript"/>
        <sz val="14"/>
        <rFont val="Times New Roman"/>
        <family val="1"/>
      </rPr>
      <t>10</t>
    </r>
    <r>
      <rPr>
        <sz val="11"/>
        <color theme="1"/>
        <rFont val="Calibri"/>
        <family val="2"/>
        <charset val="186"/>
        <scheme val="minor"/>
      </rPr>
      <t xml:space="preserve"> </t>
    </r>
    <r>
      <rPr>
        <sz val="14"/>
        <rFont val="Times New Roman"/>
        <family val="1"/>
      </rPr>
      <t>- rehospitalizāciju skaitā ieskaita pacientus, kas atkārtoti hospitalizēti tajā pašā vai nākamajā dienā, kuru nākamā hospitalizācija ir aprūpe vai rehabilitācija (atbilstoši NVD mājas lapā publicētā</t>
    </r>
  </si>
  <si>
    <t>"Pārskats par uz mājām izrakstītiem pacientiem, kas atkārtoti hospitalizēti tajā pašā vai nākamajā dienā" izslēgšanas kritērijos GPF kodam</t>
  </si>
  <si>
    <r>
      <rPr>
        <vertAlign val="superscript"/>
        <sz val="14"/>
        <rFont val="Times New Roman"/>
        <family val="1"/>
      </rPr>
      <t>11</t>
    </r>
    <r>
      <rPr>
        <sz val="14"/>
        <rFont val="Times New Roman"/>
        <family val="1"/>
      </rPr>
      <t>- atbilstoši NVD mājas lapā publocētajam "Valsts apmaksājamo manipulāciju un to apmaksas nosacījumu saraksts" Lielo ķirurģisko operāciju klasifikatoram (10.kolonna)</t>
    </r>
  </si>
  <si>
    <t xml:space="preserve">* "PZ_Aprēķins" un "Bilance" tiek sagatavots atbilstoši Kapitālsabiedrības valdes apstiprinātajai grāmatvedības politikai un standartiem. "PZ_Aprēķins", "Bilance" un "Naudas_plūsma" datiem jābūt loģiski savstarpēji saistītiem. </t>
  </si>
  <si>
    <t>* budžeta kodu klasifikācija sadaļā II " IZDEVUMI SAIMNIECISKĀS DARBĪBAS NODROŠINĀŠANAI KOPĀ" atbilst Ministru Kabineta noteikumiem 1031 Noteikumi par budžetu izdevumu klasifikāciju atbilstoši ekonomiskajām kategorijām" un jāpiemēro šo MK noteikumu skaidrojumi atbilstošiem EKK</t>
  </si>
  <si>
    <t>27200</t>
  </si>
  <si>
    <t>27110</t>
  </si>
  <si>
    <t>27300</t>
  </si>
  <si>
    <t>Izmaiņas, salīdzinot ar 2019.gada izpildi, euro</t>
  </si>
  <si>
    <t>Izmaiņas, salīdzinot ar  2019.gada izpildi, %</t>
  </si>
  <si>
    <t>Sakarā ar operācijas bloka renovāciju, laika posmā no 2020. gada marta līdz 2020. gada decembrim, plānveida operācijām plānots samazinājums.</t>
  </si>
  <si>
    <t>Veselības aprūpes pakalpojumu tarifu palielināšanās.</t>
  </si>
  <si>
    <t>Sakarā ar operācijas bloka renovāciju, laika posmā no 2020. gada marta līdz 2020. gada decembrim, plānveida maksas operācijām plānots samazinājums.</t>
  </si>
  <si>
    <t>Rezidentu darba samaksas finansējuma palielinājums.</t>
  </si>
  <si>
    <t>Pārtraukts telpu nomas līgums ar SIA Māras ziedi.2020. gada jūnijā beidzas vienošanās ar SIA Veselības centrs 4 par parāda saistību izpildi.</t>
  </si>
  <si>
    <t>plānota operāciju bloka renovācija 2020. gada martā- decembrī</t>
  </si>
  <si>
    <t>Plānots algas palielinājums par aptuveni 8 %</t>
  </si>
  <si>
    <t>Autotransfūzijas iekārtas piegāde</t>
  </si>
  <si>
    <t>Spēka un pneimatisko instrumentu komplektācijas daļu nomaiņa un papildināšana</t>
  </si>
  <si>
    <t>Pieres lampa ar akumulatoru ( 2. gab)</t>
  </si>
  <si>
    <t>Aktīvo un pasīvo kustību trenažieru piegāde gulošiem pacientiem</t>
  </si>
  <si>
    <t>Pacientu sildītāju piegāde</t>
  </si>
  <si>
    <t>Kombinētā grīdas uzkopšanas iekārtas piegāde</t>
  </si>
  <si>
    <t>Apavu mazgājamā mašīna</t>
  </si>
  <si>
    <t>Pārvietojamās operāciju lampas piegāde (1 gab.)</t>
  </si>
  <si>
    <t>Guļratu (5 gab.), sēdratu (11 gab.), mobilā manipulācijas galda māsai (6 gab.) un mobilā aprūpes galda māsas palīgam (6 gab.) piegāde</t>
  </si>
  <si>
    <t>Kondicionieru uzstādīšana un nomaiņa</t>
  </si>
  <si>
    <t>Spēka instrumentu komplektu piegāde operāciju vajadzībām</t>
  </si>
  <si>
    <t>Defibrilātoru piegāde</t>
  </si>
  <si>
    <t>Instrumentu piegāde spinālajām operācijām</t>
  </si>
  <si>
    <t>Instrumentu konteineru piegāde</t>
  </si>
  <si>
    <t>Stacionāra, pārvietojama baktericīda gaisa dezinfekcijas un attīrīšanas iekārtu (4 gab.) un medicīnas ledusskapju (4 gab.) piegāde</t>
  </si>
  <si>
    <t>Bojātās karstā un aukstā ūdens maģistrāles, stāvvada maiņa.</t>
  </si>
  <si>
    <t>Rigido endoskopu un gaismas vada testera piegāde</t>
  </si>
  <si>
    <t>Pacientu ventilācijas iekārtu piegāde ITN vajadzībām</t>
  </si>
  <si>
    <t>Metāla māsu galdiņu piegāde operāciju zālei  (6 gab.)</t>
  </si>
  <si>
    <t>Ventilācijas sistēmas rekonstrukcija</t>
  </si>
  <si>
    <t>Kanalizācijas sistēmas rekonstrukcija</t>
  </si>
  <si>
    <t>Anestēzijas darba stacijas piegāde</t>
  </si>
  <si>
    <t>Elektriskā slimnīcas gultu pārvietojamā iekārta</t>
  </si>
  <si>
    <t>Datu loģistikas programmas iegāde</t>
  </si>
  <si>
    <t>Medicīnas iekārtu piegāde Patohistoloģijas un audu konservācijas laboratorijas vajadzībām</t>
  </si>
  <si>
    <t>Automātiskā ugunsgrēka atklāšanas un trauksmes signalizācijas sistēmas uzstādīšana</t>
  </si>
  <si>
    <t>Aprūpes priekšmetu mazgāšanas iekārtas piegāde</t>
  </si>
  <si>
    <t xml:space="preserve">Pārējās medicīnas un laboratoijas iekārtas </t>
  </si>
  <si>
    <t>2020.gadā plānots plielināt uzkrājumu veidošanu nedrošiem debitoriem, pamatojoteis uz vecuma analīzi parādniekiem.</t>
  </si>
  <si>
    <t>2019.gadā ieguldīti līdzekļi tikai kustamajā īpašumā - lielāko summu Tehnoloģijas iekārtas un mašīnas 522939 euro, sekojoši nolietojums ir paredzēts lielāks 2020.gadam.</t>
  </si>
  <si>
    <t>2019.gadā plāns mazvērtīgajam inventāra nebija izpildīts, plānots iepirkums 2020.gadam.</t>
  </si>
  <si>
    <t>2019. gadā daļa plānoto remontdarbu netika veikti, sekojoši plānojam veikt 2020.gadā palielinājumu šiem remontiem.</t>
  </si>
  <si>
    <t>2020.gadā plānots iekārtu, inventāra uzturēšanai palielinājums, salīdzinoši ar 2019.gada izpildi.</t>
  </si>
  <si>
    <t>2020.gadā plānojam virtuves telpas kosmētisko remontu 3.nodaļai, mikrobioloģijas, arhīva telpu remontdarbi, kāpņu krāsojuma atjaunošanai, aptiekas noliktavas telpu remontam.</t>
  </si>
  <si>
    <t>2020.gadā plānots palielinājums transporta ārpakalpojumiems - papildus pacientu transportēšanai, asins piegādei.</t>
  </si>
  <si>
    <t>2020.gadā plānotie lielāki izdevumi medicīnas personāla apmācībai, salīdzinoši ar 2019.gada izpildi.</t>
  </si>
  <si>
    <t>Plānots algas palielinājums par aptuveni 8%</t>
  </si>
  <si>
    <t xml:space="preserve">  plānots samazinājums.</t>
  </si>
  <si>
    <t>plānots mazāks skaits endoprotezēšanas operācijām sakarā ar operācijas bloka renovāciju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</si>
</sst>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s>
  <fonts count="56">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i/>
      <sz val="14"/>
      <name val="Times New Roman"/>
      <family val="1"/>
    </font>
    <font>
      <b/>
      <i/>
      <sz val="14"/>
      <name val="Times New Roman"/>
      <family val="1"/>
    </font>
    <font>
      <b/>
      <sz val="14"/>
      <color indexed="9"/>
      <name val="Times New Roman"/>
      <family val="1"/>
    </font>
    <font>
      <b/>
      <u/>
      <sz val="14"/>
      <name val="Times New Roman"/>
      <family val="1"/>
    </font>
    <font>
      <b/>
      <sz val="14"/>
      <name val="Times New Roman"/>
      <family val="1"/>
      <charset val="186"/>
    </font>
    <font>
      <sz val="14"/>
      <name val="Times New Roman"/>
      <family val="1"/>
      <charset val="186"/>
    </font>
    <font>
      <b/>
      <sz val="14"/>
      <color theme="1"/>
      <name val="Times New Roman"/>
      <family val="1"/>
    </font>
    <font>
      <vertAlign val="superscript"/>
      <sz val="14"/>
      <name val="Times New Roman"/>
      <family val="1"/>
    </font>
    <font>
      <b/>
      <vertAlign val="superscript"/>
      <sz val="14"/>
      <name val="Times New Roman"/>
      <family val="1"/>
    </font>
    <font>
      <i/>
      <vertAlign val="superscript"/>
      <sz val="14"/>
      <name val="Times New Roman"/>
      <family val="1"/>
    </font>
    <font>
      <b/>
      <sz val="14"/>
      <color rgb="FF414142"/>
      <name val="Times New Roman"/>
      <family val="1"/>
    </font>
    <font>
      <b/>
      <i/>
      <sz val="14"/>
      <color rgb="FFFF0000"/>
      <name val="Times New Roman"/>
      <family val="1"/>
      <charset val="186"/>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2"/>
        <bgColor indexed="64"/>
      </patternFill>
    </fill>
    <fill>
      <patternFill patternType="solid">
        <fgColor rgb="FF92D050"/>
        <bgColor indexed="64"/>
      </patternFill>
    </fill>
    <fill>
      <patternFill patternType="solid">
        <fgColor rgb="FFFF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1490">
    <xf numFmtId="0" fontId="0" fillId="0" borderId="0"/>
    <xf numFmtId="0" fontId="8" fillId="0" borderId="0"/>
    <xf numFmtId="0" fontId="8" fillId="0" borderId="0"/>
    <xf numFmtId="0" fontId="7" fillId="0" borderId="0"/>
    <xf numFmtId="0" fontId="6" fillId="0" borderId="0"/>
    <xf numFmtId="0" fontId="8" fillId="0" borderId="0"/>
    <xf numFmtId="0" fontId="8" fillId="0" borderId="0"/>
    <xf numFmtId="0" fontId="5" fillId="0" borderId="0"/>
    <xf numFmtId="0" fontId="4" fillId="0" borderId="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29" fillId="0" borderId="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1"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2"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5" fillId="17" borderId="17"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0" fontId="16" fillId="31" borderId="18" applyNumberFormat="0" applyAlignment="0" applyProtection="0"/>
    <xf numFmtId="41" fontId="8" fillId="0" borderId="0" applyFont="0" applyFill="0" applyBorder="0" applyAlignment="0" applyProtection="0"/>
    <xf numFmtId="165" fontId="1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20"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21" fillId="0" borderId="23"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1" borderId="17" applyNumberFormat="0" applyAlignment="0" applyProtection="0"/>
    <xf numFmtId="0" fontId="22" fillId="11"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2" fillId="17" borderId="17" applyNumberFormat="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3" fillId="0" borderId="25" applyNumberFormat="0" applyFill="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12"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1"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12" fillId="0" borderId="0"/>
    <xf numFmtId="0" fontId="12" fillId="0" borderId="0"/>
    <xf numFmtId="0" fontId="8" fillId="0" borderId="0"/>
    <xf numFmtId="0" fontId="35"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3" fillId="0" borderId="0"/>
    <xf numFmtId="0" fontId="3"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37" fillId="0" borderId="0" applyFont="0" applyFill="0" applyAlignment="0" applyProtection="0"/>
    <xf numFmtId="0" fontId="37" fillId="0" borderId="0" applyFont="0" applyFill="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35" fillId="15" borderId="26" applyNumberFormat="0" applyFont="0" applyAlignment="0" applyProtection="0"/>
    <xf numFmtId="0" fontId="3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8" fillId="15" borderId="26" applyNumberFormat="0" applyFon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0" fontId="25" fillId="17"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6"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8"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9" fillId="0" borderId="0"/>
    <xf numFmtId="0" fontId="8"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07">
    <xf numFmtId="0" fontId="0" fillId="0" borderId="0" xfId="0"/>
    <xf numFmtId="3" fontId="42" fillId="0" borderId="1" xfId="0" applyNumberFormat="1" applyFont="1" applyFill="1" applyBorder="1" applyAlignment="1" applyProtection="1">
      <alignment horizontal="center" vertical="center" wrapText="1"/>
    </xf>
    <xf numFmtId="3" fontId="43" fillId="2" borderId="1" xfId="0" applyNumberFormat="1" applyFont="1" applyFill="1" applyBorder="1" applyAlignment="1" applyProtection="1">
      <alignment horizontal="left" vertical="center" wrapText="1"/>
    </xf>
    <xf numFmtId="3" fontId="42" fillId="3" borderId="1" xfId="0" applyNumberFormat="1" applyFont="1" applyFill="1" applyBorder="1" applyAlignment="1" applyProtection="1">
      <alignment horizontal="left" vertical="center" wrapText="1"/>
    </xf>
    <xf numFmtId="3" fontId="42" fillId="3" borderId="1" xfId="0" applyNumberFormat="1" applyFont="1" applyFill="1" applyBorder="1" applyAlignment="1" applyProtection="1">
      <alignment horizontal="right" vertical="center"/>
      <protection locked="0"/>
    </xf>
    <xf numFmtId="3" fontId="43" fillId="0" borderId="1" xfId="1" applyNumberFormat="1" applyFont="1" applyFill="1" applyBorder="1" applyAlignment="1" applyProtection="1">
      <alignment horizontal="left" vertical="center" wrapText="1"/>
    </xf>
    <xf numFmtId="0" fontId="42" fillId="3" borderId="1" xfId="0" applyNumberFormat="1" applyFont="1" applyFill="1" applyBorder="1" applyAlignment="1" applyProtection="1">
      <alignment horizontal="center" vertical="center"/>
    </xf>
    <xf numFmtId="0" fontId="42" fillId="2" borderId="1" xfId="1" applyNumberFormat="1" applyFont="1" applyFill="1" applyBorder="1" applyAlignment="1" applyProtection="1">
      <alignment horizontal="center" vertical="center"/>
    </xf>
    <xf numFmtId="0" fontId="43" fillId="2" borderId="1" xfId="1" applyNumberFormat="1" applyFont="1" applyFill="1" applyBorder="1" applyAlignment="1" applyProtection="1">
      <alignment horizontal="center" vertical="center"/>
    </xf>
    <xf numFmtId="0" fontId="42" fillId="3" borderId="1" xfId="1" applyNumberFormat="1" applyFont="1" applyFill="1" applyBorder="1" applyAlignment="1" applyProtection="1">
      <alignment horizontal="center" vertical="center"/>
    </xf>
    <xf numFmtId="3" fontId="42" fillId="3" borderId="1" xfId="0" applyNumberFormat="1" applyFont="1" applyFill="1" applyBorder="1" applyAlignment="1" applyProtection="1">
      <alignment horizontal="right" vertical="center" wrapText="1"/>
      <protection locked="0"/>
    </xf>
    <xf numFmtId="3" fontId="43" fillId="2" borderId="1" xfId="0" applyNumberFormat="1" applyFont="1" applyFill="1" applyBorder="1" applyAlignment="1" applyProtection="1">
      <alignment horizontal="right" vertical="center" wrapText="1"/>
      <protection locked="0"/>
    </xf>
    <xf numFmtId="3" fontId="43" fillId="3" borderId="1" xfId="0" applyNumberFormat="1" applyFont="1" applyFill="1" applyBorder="1" applyAlignment="1" applyProtection="1">
      <alignment horizontal="right" vertical="center" wrapText="1"/>
      <protection locked="0"/>
    </xf>
    <xf numFmtId="0" fontId="43" fillId="2" borderId="1" xfId="0" applyFont="1" applyFill="1" applyBorder="1" applyAlignment="1" applyProtection="1">
      <alignment horizontal="right" vertical="center" wrapText="1"/>
      <protection locked="0"/>
    </xf>
    <xf numFmtId="3" fontId="43" fillId="3" borderId="1" xfId="1" applyNumberFormat="1" applyFont="1" applyFill="1" applyBorder="1" applyAlignment="1" applyProtection="1">
      <alignment horizontal="right" vertical="center" wrapText="1"/>
      <protection locked="0"/>
    </xf>
    <xf numFmtId="0" fontId="42" fillId="3" borderId="1" xfId="0" applyFont="1" applyFill="1" applyBorder="1" applyAlignment="1" applyProtection="1">
      <alignment horizontal="right" vertical="center" wrapText="1"/>
      <protection locked="0"/>
    </xf>
    <xf numFmtId="0" fontId="43" fillId="3" borderId="1" xfId="0" applyFont="1" applyFill="1" applyBorder="1" applyAlignment="1" applyProtection="1">
      <alignment horizontal="right" vertical="center" wrapText="1"/>
      <protection locked="0"/>
    </xf>
    <xf numFmtId="0" fontId="41" fillId="0" borderId="0" xfId="0" applyFont="1" applyAlignment="1">
      <alignment vertical="center"/>
    </xf>
    <xf numFmtId="0" fontId="49" fillId="0" borderId="1" xfId="1467" applyFont="1" applyFill="1" applyBorder="1" applyAlignment="1" applyProtection="1">
      <alignment horizontal="center" vertical="center"/>
    </xf>
    <xf numFmtId="0" fontId="41" fillId="0" borderId="0" xfId="1467" applyFont="1" applyFill="1" applyAlignment="1">
      <alignment vertical="center"/>
    </xf>
    <xf numFmtId="0" fontId="41" fillId="0" borderId="0" xfId="1467" applyFont="1" applyFill="1" applyBorder="1" applyAlignment="1">
      <alignment vertical="center"/>
    </xf>
    <xf numFmtId="0" fontId="49" fillId="0" borderId="0" xfId="1467" applyFont="1" applyFill="1" applyBorder="1" applyAlignment="1" applyProtection="1">
      <alignment vertical="center"/>
      <protection locked="0"/>
    </xf>
    <xf numFmtId="0" fontId="49" fillId="0" borderId="0" xfId="1467" applyFont="1" applyFill="1" applyAlignment="1" applyProtection="1">
      <alignment vertical="center"/>
    </xf>
    <xf numFmtId="0" fontId="49" fillId="0" borderId="0" xfId="1467" applyFont="1" applyFill="1" applyAlignment="1" applyProtection="1">
      <alignment vertical="center"/>
      <protection locked="0"/>
    </xf>
    <xf numFmtId="0" fontId="49" fillId="0" borderId="1" xfId="1467" applyFont="1" applyFill="1" applyBorder="1" applyAlignment="1" applyProtection="1">
      <alignment vertical="center" wrapText="1"/>
    </xf>
    <xf numFmtId="0" fontId="48" fillId="6" borderId="1" xfId="1467" applyFont="1" applyFill="1" applyBorder="1" applyAlignment="1" applyProtection="1">
      <alignment horizontal="center" vertical="center"/>
    </xf>
    <xf numFmtId="0" fontId="48" fillId="6" borderId="1" xfId="1467" applyFont="1" applyFill="1" applyBorder="1" applyAlignment="1" applyProtection="1">
      <alignment vertical="center" wrapText="1"/>
    </xf>
    <xf numFmtId="3" fontId="49" fillId="0" borderId="1" xfId="1467" applyNumberFormat="1" applyFont="1" applyFill="1" applyBorder="1" applyAlignment="1" applyProtection="1">
      <alignment horizontal="center" vertical="center"/>
      <protection locked="0"/>
    </xf>
    <xf numFmtId="3" fontId="48" fillId="6" borderId="1" xfId="1467" applyNumberFormat="1" applyFont="1" applyFill="1" applyBorder="1" applyAlignment="1" applyProtection="1">
      <alignment horizontal="center" vertical="center"/>
    </xf>
    <xf numFmtId="3" fontId="43" fillId="2" borderId="1" xfId="6" applyNumberFormat="1" applyFont="1" applyFill="1" applyBorder="1" applyAlignment="1" applyProtection="1">
      <alignment horizontal="left" vertical="center" wrapText="1"/>
    </xf>
    <xf numFmtId="3" fontId="43" fillId="2" borderId="1" xfId="1" applyNumberFormat="1" applyFont="1" applyFill="1" applyBorder="1" applyAlignment="1" applyProtection="1">
      <alignment vertical="center"/>
    </xf>
    <xf numFmtId="3" fontId="42" fillId="3" borderId="1" xfId="6" applyNumberFormat="1" applyFont="1" applyFill="1" applyBorder="1" applyAlignment="1" applyProtection="1">
      <alignment vertical="center" wrapText="1"/>
    </xf>
    <xf numFmtId="3" fontId="42" fillId="3" borderId="1" xfId="1" applyNumberFormat="1" applyFont="1" applyFill="1" applyBorder="1" applyAlignment="1" applyProtection="1">
      <alignment vertical="center"/>
      <protection locked="0"/>
    </xf>
    <xf numFmtId="3" fontId="42" fillId="2" borderId="1" xfId="6" applyNumberFormat="1" applyFont="1" applyFill="1" applyBorder="1" applyAlignment="1" applyProtection="1">
      <alignment vertical="center" wrapText="1"/>
    </xf>
    <xf numFmtId="3" fontId="42" fillId="2" borderId="1" xfId="1" applyNumberFormat="1" applyFont="1" applyFill="1" applyBorder="1" applyAlignment="1" applyProtection="1">
      <alignment vertical="center"/>
    </xf>
    <xf numFmtId="3" fontId="43" fillId="2" borderId="1" xfId="1" applyNumberFormat="1" applyFont="1" applyFill="1" applyBorder="1" applyAlignment="1" applyProtection="1">
      <alignment vertical="center"/>
      <protection locked="0"/>
    </xf>
    <xf numFmtId="0" fontId="43" fillId="2" borderId="1" xfId="6" applyFont="1" applyFill="1" applyBorder="1" applyAlignment="1" applyProtection="1">
      <alignment horizontal="left" vertical="center" wrapText="1"/>
    </xf>
    <xf numFmtId="3" fontId="43" fillId="2" borderId="1" xfId="6" applyNumberFormat="1" applyFont="1" applyFill="1" applyBorder="1" applyAlignment="1" applyProtection="1">
      <alignment vertical="center"/>
    </xf>
    <xf numFmtId="3" fontId="42" fillId="2" borderId="1" xfId="6" applyNumberFormat="1" applyFont="1" applyFill="1" applyBorder="1" applyAlignment="1" applyProtection="1">
      <alignment horizontal="left" vertical="center" wrapText="1"/>
    </xf>
    <xf numFmtId="3" fontId="42" fillId="3" borderId="1" xfId="6" applyNumberFormat="1" applyFont="1" applyFill="1" applyBorder="1" applyAlignment="1" applyProtection="1">
      <alignment horizontal="center" vertical="center" wrapText="1"/>
    </xf>
    <xf numFmtId="0" fontId="42" fillId="0" borderId="1" xfId="1467" applyFont="1" applyFill="1" applyBorder="1" applyAlignment="1" applyProtection="1">
      <alignment horizontal="center" vertical="center"/>
    </xf>
    <xf numFmtId="3" fontId="45" fillId="2" borderId="1" xfId="0" applyNumberFormat="1" applyFont="1" applyFill="1" applyBorder="1" applyAlignment="1" applyProtection="1">
      <alignment horizontal="left" vertical="center" wrapText="1"/>
      <protection locked="0"/>
    </xf>
    <xf numFmtId="3" fontId="44" fillId="3" borderId="1" xfId="0" applyNumberFormat="1" applyFont="1" applyFill="1" applyBorder="1" applyAlignment="1" applyProtection="1">
      <alignment horizontal="left" vertical="center" wrapText="1"/>
      <protection locked="0"/>
    </xf>
    <xf numFmtId="3" fontId="45" fillId="3" borderId="1" xfId="0" applyNumberFormat="1" applyFont="1" applyFill="1" applyBorder="1" applyAlignment="1" applyProtection="1">
      <alignment horizontal="left" vertical="center" wrapText="1"/>
      <protection locked="0"/>
    </xf>
    <xf numFmtId="3" fontId="42" fillId="3" borderId="1" xfId="6" applyNumberFormat="1" applyFont="1" applyFill="1" applyBorder="1" applyAlignment="1" applyProtection="1">
      <alignment vertical="center"/>
      <protection locked="0"/>
    </xf>
    <xf numFmtId="3" fontId="43" fillId="0" borderId="1" xfId="6" applyNumberFormat="1" applyFont="1" applyFill="1" applyBorder="1" applyAlignment="1" applyProtection="1">
      <alignment vertical="center"/>
      <protection locked="0"/>
    </xf>
    <xf numFmtId="3" fontId="42" fillId="0" borderId="1" xfId="6" applyNumberFormat="1" applyFont="1" applyFill="1" applyBorder="1" applyAlignment="1" applyProtection="1">
      <alignment vertical="center"/>
      <protection locked="0"/>
    </xf>
    <xf numFmtId="3" fontId="43" fillId="2" borderId="1" xfId="6" applyNumberFormat="1" applyFont="1" applyFill="1" applyBorder="1" applyAlignment="1" applyProtection="1">
      <alignment vertical="center"/>
      <protection locked="0"/>
    </xf>
    <xf numFmtId="3" fontId="42" fillId="3" borderId="1" xfId="6" applyNumberFormat="1" applyFont="1" applyFill="1" applyBorder="1" applyAlignment="1" applyProtection="1">
      <alignment horizontal="right" vertical="center"/>
      <protection locked="0"/>
    </xf>
    <xf numFmtId="3" fontId="42" fillId="0" borderId="1" xfId="6" applyNumberFormat="1" applyFont="1" applyFill="1" applyBorder="1" applyAlignment="1" applyProtection="1">
      <alignment horizontal="right" vertical="center"/>
      <protection locked="0"/>
    </xf>
    <xf numFmtId="3" fontId="42" fillId="3" borderId="1" xfId="0" applyNumberFormat="1" applyFont="1" applyFill="1" applyBorder="1" applyAlignment="1" applyProtection="1">
      <alignment vertical="center"/>
      <protection locked="0"/>
    </xf>
    <xf numFmtId="3" fontId="42" fillId="3" borderId="3" xfId="0" applyNumberFormat="1" applyFont="1" applyFill="1" applyBorder="1" applyAlignment="1" applyProtection="1">
      <alignment vertical="center"/>
      <protection locked="0"/>
    </xf>
    <xf numFmtId="3" fontId="42" fillId="3" borderId="3" xfId="6" applyNumberFormat="1" applyFont="1" applyFill="1" applyBorder="1" applyAlignment="1" applyProtection="1">
      <alignment vertical="center"/>
      <protection locked="0"/>
    </xf>
    <xf numFmtId="3" fontId="44" fillId="3" borderId="1" xfId="6" applyNumberFormat="1" applyFont="1" applyFill="1" applyBorder="1" applyAlignment="1" applyProtection="1">
      <alignment horizontal="left" vertical="center"/>
      <protection locked="0"/>
    </xf>
    <xf numFmtId="3" fontId="44" fillId="3" borderId="1" xfId="0" applyNumberFormat="1" applyFont="1" applyFill="1" applyBorder="1" applyAlignment="1" applyProtection="1">
      <alignment horizontal="left" vertical="center"/>
      <protection locked="0"/>
    </xf>
    <xf numFmtId="3" fontId="42" fillId="0" borderId="1" xfId="0" applyNumberFormat="1"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1" fillId="0" borderId="0" xfId="1467" applyFont="1" applyFill="1" applyAlignment="1" applyProtection="1">
      <alignment vertical="center"/>
    </xf>
    <xf numFmtId="0" fontId="49" fillId="0" borderId="0" xfId="1467" applyFont="1" applyFill="1" applyBorder="1" applyAlignment="1" applyProtection="1">
      <alignment horizontal="center" vertical="center"/>
    </xf>
    <xf numFmtId="0" fontId="49" fillId="0" borderId="0" xfId="1467" applyFont="1" applyFill="1" applyBorder="1" applyAlignment="1" applyProtection="1">
      <alignment vertical="center"/>
    </xf>
    <xf numFmtId="0" fontId="49" fillId="0" borderId="0" xfId="1467" applyFont="1" applyFill="1" applyAlignment="1" applyProtection="1">
      <alignment horizontal="center" vertical="center"/>
    </xf>
    <xf numFmtId="0" fontId="41" fillId="0" borderId="0" xfId="0" applyFont="1" applyAlignment="1" applyProtection="1">
      <alignment vertical="center"/>
    </xf>
    <xf numFmtId="0" fontId="42" fillId="0" borderId="0" xfId="0" applyFont="1" applyProtection="1"/>
    <xf numFmtId="0" fontId="42" fillId="0" borderId="0" xfId="0" applyFont="1" applyProtection="1">
      <protection locked="0"/>
    </xf>
    <xf numFmtId="3" fontId="42" fillId="0" borderId="1" xfId="1" applyNumberFormat="1" applyFont="1" applyFill="1" applyBorder="1" applyAlignment="1" applyProtection="1">
      <alignment vertical="center"/>
      <protection locked="0"/>
    </xf>
    <xf numFmtId="4" fontId="42" fillId="3" borderId="1" xfId="6" applyNumberFormat="1" applyFont="1" applyFill="1" applyBorder="1" applyAlignment="1" applyProtection="1">
      <alignment vertical="center"/>
      <protection locked="0"/>
    </xf>
    <xf numFmtId="0" fontId="42" fillId="0" borderId="1" xfId="6" applyNumberFormat="1" applyFont="1" applyFill="1" applyBorder="1" applyAlignment="1" applyProtection="1">
      <alignment horizontal="center" vertical="center"/>
    </xf>
    <xf numFmtId="3" fontId="42" fillId="0" borderId="1" xfId="1" applyNumberFormat="1" applyFont="1" applyFill="1" applyBorder="1" applyAlignment="1" applyProtection="1">
      <alignment horizontal="center" vertical="center" wrapText="1"/>
    </xf>
    <xf numFmtId="0" fontId="42" fillId="0" borderId="0" xfId="6" applyFont="1" applyFill="1" applyProtection="1"/>
    <xf numFmtId="0" fontId="42" fillId="0" borderId="1" xfId="6" applyFont="1" applyFill="1" applyBorder="1" applyAlignment="1" applyProtection="1">
      <alignment horizontal="center" vertical="center"/>
    </xf>
    <xf numFmtId="0" fontId="42" fillId="0" borderId="12" xfId="6" applyFont="1" applyFill="1" applyBorder="1" applyProtection="1"/>
    <xf numFmtId="0" fontId="42" fillId="0" borderId="13" xfId="6" applyFont="1" applyFill="1" applyBorder="1" applyProtection="1"/>
    <xf numFmtId="0" fontId="42" fillId="0" borderId="14" xfId="6" applyFont="1" applyFill="1" applyBorder="1" applyProtection="1"/>
    <xf numFmtId="0" fontId="42" fillId="0" borderId="0" xfId="6" applyFont="1" applyFill="1" applyBorder="1" applyProtection="1"/>
    <xf numFmtId="0" fontId="42" fillId="0" borderId="0" xfId="0" applyFont="1" applyAlignment="1" applyProtection="1">
      <alignment vertical="center"/>
    </xf>
    <xf numFmtId="0" fontId="43" fillId="8" borderId="1" xfId="6" applyNumberFormat="1" applyFont="1" applyFill="1" applyBorder="1" applyAlignment="1" applyProtection="1">
      <alignment horizontal="center" vertical="center"/>
    </xf>
    <xf numFmtId="0" fontId="43" fillId="8" borderId="1" xfId="6" applyFont="1" applyFill="1" applyBorder="1" applyAlignment="1" applyProtection="1">
      <alignment horizontal="left" vertical="center" wrapText="1"/>
    </xf>
    <xf numFmtId="3" fontId="43" fillId="8" borderId="1" xfId="6" applyNumberFormat="1" applyFont="1" applyFill="1" applyBorder="1" applyAlignment="1" applyProtection="1">
      <alignment vertical="center"/>
    </xf>
    <xf numFmtId="3" fontId="43" fillId="8" borderId="1" xfId="6" applyNumberFormat="1" applyFont="1" applyFill="1" applyBorder="1" applyAlignment="1" applyProtection="1">
      <alignment horizontal="right" vertical="center" wrapText="1"/>
    </xf>
    <xf numFmtId="0" fontId="43" fillId="6" borderId="1" xfId="6" applyNumberFormat="1" applyFont="1" applyFill="1" applyBorder="1" applyAlignment="1" applyProtection="1">
      <alignment horizontal="center" vertical="center"/>
    </xf>
    <xf numFmtId="0" fontId="43" fillId="6" borderId="1" xfId="6" applyFont="1" applyFill="1" applyBorder="1" applyAlignment="1" applyProtection="1">
      <alignment horizontal="left" vertical="center" wrapText="1"/>
    </xf>
    <xf numFmtId="3" fontId="43" fillId="6" borderId="1" xfId="6" applyNumberFormat="1" applyFont="1" applyFill="1" applyBorder="1" applyAlignment="1" applyProtection="1">
      <alignment horizontal="right" vertical="center" wrapText="1"/>
    </xf>
    <xf numFmtId="0" fontId="43" fillId="2" borderId="1" xfId="6" applyNumberFormat="1" applyFont="1" applyFill="1" applyBorder="1" applyAlignment="1" applyProtection="1">
      <alignment horizontal="center" vertical="center"/>
    </xf>
    <xf numFmtId="0" fontId="43" fillId="2" borderId="1" xfId="6" applyFont="1" applyFill="1" applyBorder="1" applyAlignment="1" applyProtection="1">
      <alignment vertical="center" wrapText="1"/>
    </xf>
    <xf numFmtId="3" fontId="43" fillId="2" borderId="1" xfId="6" applyNumberFormat="1" applyFont="1" applyFill="1" applyBorder="1" applyAlignment="1" applyProtection="1">
      <alignment horizontal="right" vertical="center" wrapText="1"/>
    </xf>
    <xf numFmtId="0" fontId="44" fillId="0" borderId="0" xfId="0" applyFont="1" applyAlignment="1" applyProtection="1">
      <alignment vertical="center"/>
    </xf>
    <xf numFmtId="0" fontId="45" fillId="0" borderId="0" xfId="0" applyFont="1" applyAlignment="1" applyProtection="1">
      <alignment vertical="center"/>
    </xf>
    <xf numFmtId="3" fontId="43" fillId="6" borderId="1" xfId="6" applyNumberFormat="1" applyFont="1" applyFill="1" applyBorder="1" applyAlignment="1" applyProtection="1">
      <alignment horizontal="right" vertical="center"/>
    </xf>
    <xf numFmtId="0" fontId="43" fillId="6" borderId="1" xfId="6" applyFont="1" applyFill="1" applyBorder="1" applyAlignment="1" applyProtection="1">
      <alignment vertical="center" wrapText="1"/>
    </xf>
    <xf numFmtId="0" fontId="43" fillId="6" borderId="1" xfId="0" applyFont="1" applyFill="1" applyBorder="1" applyAlignment="1" applyProtection="1">
      <alignment horizontal="center" vertical="center"/>
    </xf>
    <xf numFmtId="0" fontId="43" fillId="6" borderId="1" xfId="0" applyFont="1" applyFill="1" applyBorder="1" applyAlignment="1" applyProtection="1">
      <alignment vertical="center" wrapText="1"/>
    </xf>
    <xf numFmtId="3" fontId="43" fillId="6" borderId="1" xfId="0" applyNumberFormat="1" applyFont="1" applyFill="1" applyBorder="1" applyAlignment="1" applyProtection="1">
      <alignment vertical="center"/>
    </xf>
    <xf numFmtId="3" fontId="43" fillId="6" borderId="1" xfId="6" applyNumberFormat="1" applyFont="1" applyFill="1" applyBorder="1" applyAlignment="1" applyProtection="1">
      <alignment vertical="center" wrapText="1"/>
    </xf>
    <xf numFmtId="0" fontId="43" fillId="2" borderId="1" xfId="0" applyFont="1" applyFill="1" applyBorder="1" applyAlignment="1" applyProtection="1">
      <alignment horizontal="center" vertical="center"/>
    </xf>
    <xf numFmtId="3" fontId="43" fillId="2" borderId="1" xfId="0" applyNumberFormat="1" applyFont="1" applyFill="1" applyBorder="1" applyAlignment="1" applyProtection="1">
      <alignment horizontal="right" vertical="center"/>
    </xf>
    <xf numFmtId="0" fontId="42" fillId="0" borderId="0" xfId="0" applyFont="1" applyFill="1" applyAlignment="1" applyProtection="1">
      <alignment vertical="center"/>
    </xf>
    <xf numFmtId="0" fontId="42" fillId="0" borderId="1" xfId="0" applyFont="1" applyBorder="1" applyAlignment="1" applyProtection="1">
      <alignment horizontal="center" vertical="center"/>
    </xf>
    <xf numFmtId="0" fontId="42" fillId="3" borderId="1" xfId="6" applyFont="1" applyFill="1" applyBorder="1" applyAlignment="1" applyProtection="1">
      <alignment horizontal="left" vertical="center" wrapText="1"/>
    </xf>
    <xf numFmtId="3" fontId="42" fillId="0" borderId="1" xfId="0" applyNumberFormat="1" applyFont="1" applyBorder="1" applyAlignment="1" applyProtection="1">
      <alignment vertical="center"/>
    </xf>
    <xf numFmtId="0" fontId="43" fillId="0" borderId="1" xfId="0" applyFont="1" applyFill="1" applyBorder="1" applyAlignment="1" applyProtection="1">
      <alignment horizontal="center" vertical="center"/>
    </xf>
    <xf numFmtId="0" fontId="43" fillId="0" borderId="1" xfId="0" applyFont="1" applyFill="1" applyBorder="1" applyAlignment="1" applyProtection="1">
      <alignment vertical="center" wrapText="1"/>
    </xf>
    <xf numFmtId="0" fontId="43" fillId="6" borderId="4" xfId="6" applyNumberFormat="1" applyFont="1" applyFill="1" applyBorder="1" applyAlignment="1" applyProtection="1">
      <alignment horizontal="center" vertical="center"/>
    </xf>
    <xf numFmtId="0" fontId="43" fillId="6" borderId="4" xfId="6" applyFont="1" applyFill="1" applyBorder="1" applyAlignment="1" applyProtection="1">
      <alignment vertical="center" wrapText="1"/>
    </xf>
    <xf numFmtId="3" fontId="43" fillId="6" borderId="4" xfId="6" applyNumberFormat="1" applyFont="1" applyFill="1" applyBorder="1" applyAlignment="1" applyProtection="1">
      <alignment horizontal="right" vertical="center" wrapText="1"/>
    </xf>
    <xf numFmtId="0" fontId="43" fillId="6" borderId="6" xfId="6" applyNumberFormat="1" applyFont="1" applyFill="1" applyBorder="1" applyAlignment="1" applyProtection="1">
      <alignment horizontal="center" vertical="center"/>
    </xf>
    <xf numFmtId="16" fontId="43" fillId="6" borderId="6" xfId="6" applyNumberFormat="1" applyFont="1" applyFill="1" applyBorder="1" applyAlignment="1" applyProtection="1">
      <alignment vertical="center" wrapText="1"/>
    </xf>
    <xf numFmtId="3" fontId="43" fillId="6" borderId="6" xfId="6" applyNumberFormat="1" applyFont="1" applyFill="1" applyBorder="1" applyAlignment="1" applyProtection="1">
      <alignment horizontal="right" vertical="center" wrapText="1"/>
    </xf>
    <xf numFmtId="0" fontId="43" fillId="0" borderId="1" xfId="6" applyNumberFormat="1" applyFont="1" applyFill="1" applyBorder="1" applyAlignment="1" applyProtection="1">
      <alignment horizontal="center" vertical="center"/>
    </xf>
    <xf numFmtId="16" fontId="43" fillId="0" borderId="1" xfId="6" applyNumberFormat="1" applyFont="1" applyFill="1" applyBorder="1" applyAlignment="1" applyProtection="1">
      <alignment vertical="center" wrapText="1"/>
    </xf>
    <xf numFmtId="0" fontId="42" fillId="0" borderId="1" xfId="6" applyNumberFormat="1" applyFont="1" applyFill="1" applyBorder="1" applyAlignment="1" applyProtection="1">
      <alignment horizontal="center" vertical="center" wrapText="1"/>
    </xf>
    <xf numFmtId="0" fontId="42" fillId="0" borderId="1" xfId="6" applyFont="1" applyFill="1" applyBorder="1" applyAlignment="1" applyProtection="1">
      <alignment vertical="center" wrapText="1"/>
    </xf>
    <xf numFmtId="3" fontId="42" fillId="0" borderId="1" xfId="6" applyNumberFormat="1" applyFont="1" applyFill="1" applyBorder="1" applyAlignment="1" applyProtection="1">
      <alignment vertical="center"/>
    </xf>
    <xf numFmtId="0" fontId="42" fillId="0" borderId="1" xfId="6" applyFont="1" applyFill="1" applyBorder="1" applyAlignment="1" applyProtection="1">
      <alignment horizontal="left" vertical="center" wrapText="1"/>
    </xf>
    <xf numFmtId="3" fontId="42" fillId="0" borderId="1" xfId="6" applyNumberFormat="1" applyFont="1" applyFill="1" applyBorder="1" applyAlignment="1" applyProtection="1">
      <alignment horizontal="left" vertical="center" wrapText="1"/>
    </xf>
    <xf numFmtId="3" fontId="42" fillId="0" borderId="1" xfId="6" applyNumberFormat="1" applyFont="1" applyFill="1" applyBorder="1" applyAlignment="1" applyProtection="1">
      <alignment vertical="center" wrapText="1"/>
    </xf>
    <xf numFmtId="0" fontId="43" fillId="6" borderId="1" xfId="6" applyNumberFormat="1" applyFont="1" applyFill="1" applyBorder="1" applyAlignment="1" applyProtection="1">
      <alignment horizontal="center" vertical="center" wrapText="1"/>
    </xf>
    <xf numFmtId="0" fontId="43" fillId="0" borderId="1" xfId="6" applyNumberFormat="1" applyFont="1" applyFill="1" applyBorder="1" applyAlignment="1" applyProtection="1">
      <alignment horizontal="center" vertical="center" wrapText="1"/>
    </xf>
    <xf numFmtId="3" fontId="43" fillId="0" borderId="1" xfId="6" applyNumberFormat="1" applyFont="1" applyFill="1" applyBorder="1" applyAlignment="1" applyProtection="1">
      <alignment vertical="center" wrapText="1"/>
    </xf>
    <xf numFmtId="49" fontId="43" fillId="6" borderId="1" xfId="6" applyNumberFormat="1" applyFont="1" applyFill="1" applyBorder="1" applyAlignment="1" applyProtection="1">
      <alignment horizontal="left" vertical="center" wrapText="1"/>
    </xf>
    <xf numFmtId="49" fontId="43" fillId="0" borderId="1" xfId="6" applyNumberFormat="1" applyFont="1" applyFill="1" applyBorder="1" applyAlignment="1" applyProtection="1">
      <alignment horizontal="left" vertical="center" wrapText="1"/>
    </xf>
    <xf numFmtId="0" fontId="43" fillId="8" borderId="1" xfId="6" applyFont="1" applyFill="1" applyBorder="1" applyAlignment="1" applyProtection="1">
      <alignment vertical="center" wrapText="1"/>
    </xf>
    <xf numFmtId="0" fontId="50" fillId="0" borderId="1" xfId="6" applyNumberFormat="1" applyFont="1" applyFill="1" applyBorder="1" applyAlignment="1" applyProtection="1">
      <alignment horizontal="center" vertical="center" wrapText="1"/>
    </xf>
    <xf numFmtId="49" fontId="50" fillId="0" borderId="1" xfId="6" applyNumberFormat="1" applyFont="1" applyFill="1" applyBorder="1" applyAlignment="1" applyProtection="1">
      <alignment horizontal="left" vertical="center" wrapText="1"/>
    </xf>
    <xf numFmtId="0" fontId="43" fillId="3" borderId="5" xfId="6" applyNumberFormat="1" applyFont="1" applyFill="1" applyBorder="1" applyAlignment="1" applyProtection="1">
      <alignment horizontal="center" vertical="center"/>
    </xf>
    <xf numFmtId="0" fontId="42" fillId="3" borderId="1" xfId="6" applyNumberFormat="1" applyFont="1" applyFill="1" applyBorder="1" applyAlignment="1" applyProtection="1">
      <alignment horizontal="center" vertical="center"/>
    </xf>
    <xf numFmtId="0" fontId="42" fillId="0" borderId="0" xfId="0" applyFont="1" applyAlignment="1" applyProtection="1">
      <alignment horizontal="center" vertical="center"/>
    </xf>
    <xf numFmtId="0" fontId="42" fillId="0" borderId="0" xfId="0" applyFont="1" applyAlignment="1" applyProtection="1">
      <alignment horizontal="right" vertical="center"/>
    </xf>
    <xf numFmtId="3" fontId="43" fillId="0" borderId="1" xfId="0" applyNumberFormat="1" applyFont="1" applyFill="1" applyBorder="1" applyAlignment="1" applyProtection="1">
      <alignment vertical="center"/>
      <protection locked="0"/>
    </xf>
    <xf numFmtId="3" fontId="42" fillId="0" borderId="1" xfId="0" applyNumberFormat="1" applyFont="1" applyBorder="1" applyAlignment="1" applyProtection="1">
      <alignment vertical="center"/>
      <protection locked="0"/>
    </xf>
    <xf numFmtId="0" fontId="42" fillId="3" borderId="1" xfId="6" applyFont="1" applyFill="1" applyBorder="1" applyAlignment="1" applyProtection="1">
      <alignment horizontal="left" vertical="center" wrapText="1"/>
      <protection locked="0"/>
    </xf>
    <xf numFmtId="0" fontId="42" fillId="0" borderId="1" xfId="0" applyFont="1" applyBorder="1" applyAlignment="1" applyProtection="1">
      <alignment horizontal="center" vertical="center"/>
      <protection locked="0"/>
    </xf>
    <xf numFmtId="0" fontId="42" fillId="0" borderId="1" xfId="6" applyNumberFormat="1" applyFont="1" applyFill="1" applyBorder="1" applyAlignment="1" applyProtection="1">
      <alignment horizontal="center" vertical="center" wrapText="1"/>
      <protection locked="0"/>
    </xf>
    <xf numFmtId="0" fontId="42" fillId="0" borderId="1" xfId="6" applyFont="1" applyFill="1" applyBorder="1" applyAlignment="1" applyProtection="1">
      <alignment vertical="center" wrapText="1"/>
      <protection locked="0"/>
    </xf>
    <xf numFmtId="0" fontId="42" fillId="0" borderId="1" xfId="6" applyFont="1" applyFill="1" applyBorder="1" applyAlignment="1" applyProtection="1">
      <alignment horizontal="left" vertical="center" wrapText="1"/>
      <protection locked="0"/>
    </xf>
    <xf numFmtId="0" fontId="42" fillId="0" borderId="1" xfId="6" applyNumberFormat="1" applyFont="1" applyFill="1" applyBorder="1" applyAlignment="1" applyProtection="1">
      <alignment horizontal="center" vertical="center"/>
      <protection locked="0"/>
    </xf>
    <xf numFmtId="3" fontId="42" fillId="0" borderId="1" xfId="6" applyNumberFormat="1" applyFont="1" applyFill="1" applyBorder="1" applyAlignment="1" applyProtection="1">
      <alignment horizontal="left" vertical="center" wrapText="1"/>
      <protection locked="0"/>
    </xf>
    <xf numFmtId="3" fontId="42" fillId="0" borderId="1" xfId="6" applyNumberFormat="1" applyFont="1" applyFill="1" applyBorder="1" applyAlignment="1" applyProtection="1">
      <alignment vertical="center" wrapText="1"/>
      <protection locked="0"/>
    </xf>
    <xf numFmtId="3" fontId="43" fillId="0" borderId="1" xfId="6" applyNumberFormat="1" applyFont="1" applyFill="1" applyBorder="1" applyAlignment="1" applyProtection="1">
      <alignment horizontal="right" vertical="center" wrapText="1"/>
      <protection locked="0"/>
    </xf>
    <xf numFmtId="3" fontId="50" fillId="0" borderId="1" xfId="6" applyNumberFormat="1" applyFont="1" applyFill="1" applyBorder="1" applyAlignment="1" applyProtection="1">
      <alignment horizontal="right" vertical="center" wrapText="1"/>
      <protection locked="0"/>
    </xf>
    <xf numFmtId="3" fontId="42" fillId="0" borderId="1" xfId="6" applyNumberFormat="1" applyFont="1" applyFill="1" applyBorder="1" applyAlignment="1" applyProtection="1">
      <alignment horizontal="right" vertical="center" wrapText="1"/>
    </xf>
    <xf numFmtId="3" fontId="42" fillId="3" borderId="6" xfId="6" applyNumberFormat="1" applyFont="1" applyFill="1" applyBorder="1" applyAlignment="1" applyProtection="1">
      <alignment horizontal="right" vertical="center" wrapText="1"/>
      <protection locked="0"/>
    </xf>
    <xf numFmtId="3" fontId="42" fillId="3" borderId="1" xfId="6" applyNumberFormat="1" applyFont="1" applyFill="1" applyBorder="1" applyAlignment="1" applyProtection="1">
      <alignment horizontal="right" vertical="center" wrapText="1"/>
      <protection locked="0"/>
    </xf>
    <xf numFmtId="0" fontId="42" fillId="3" borderId="1" xfId="6" applyFont="1" applyFill="1" applyBorder="1" applyAlignment="1" applyProtection="1">
      <alignment horizontal="right" vertical="center"/>
      <protection locked="0"/>
    </xf>
    <xf numFmtId="0" fontId="42" fillId="3" borderId="1" xfId="6" applyFont="1" applyFill="1" applyBorder="1" applyAlignment="1" applyProtection="1">
      <alignment horizontal="right" vertical="center" wrapText="1"/>
      <protection locked="0"/>
    </xf>
    <xf numFmtId="3" fontId="45" fillId="2" borderId="1" xfId="6" applyNumberFormat="1" applyFont="1" applyFill="1" applyBorder="1" applyAlignment="1" applyProtection="1">
      <alignment horizontal="left" vertical="center" wrapText="1"/>
      <protection locked="0"/>
    </xf>
    <xf numFmtId="3" fontId="45" fillId="2" borderId="1" xfId="6" applyNumberFormat="1" applyFont="1" applyFill="1" applyBorder="1" applyAlignment="1" applyProtection="1">
      <alignment horizontal="center" vertical="center" wrapText="1"/>
      <protection locked="0"/>
    </xf>
    <xf numFmtId="0" fontId="42" fillId="3" borderId="3" xfId="6" applyFont="1" applyFill="1" applyBorder="1" applyAlignment="1" applyProtection="1">
      <alignment horizontal="right" vertical="center" wrapText="1"/>
      <protection locked="0"/>
    </xf>
    <xf numFmtId="0" fontId="42" fillId="7" borderId="1" xfId="0" applyFont="1" applyFill="1" applyBorder="1" applyAlignment="1" applyProtection="1">
      <alignment horizontal="center" vertical="center" wrapText="1"/>
    </xf>
    <xf numFmtId="0" fontId="42" fillId="7" borderId="1" xfId="0" applyFont="1" applyFill="1" applyBorder="1" applyAlignment="1" applyProtection="1">
      <alignment horizontal="left" vertical="center" wrapText="1"/>
    </xf>
    <xf numFmtId="0" fontId="43" fillId="2" borderId="1" xfId="0" applyFont="1" applyFill="1" applyBorder="1" applyAlignment="1" applyProtection="1">
      <alignment horizontal="center" vertical="center" wrapText="1"/>
    </xf>
    <xf numFmtId="0" fontId="42" fillId="7" borderId="10" xfId="0" applyFont="1" applyFill="1" applyBorder="1" applyAlignment="1" applyProtection="1">
      <alignment horizontal="center" vertical="center" wrapText="1"/>
    </xf>
    <xf numFmtId="0" fontId="42" fillId="7" borderId="10" xfId="0" applyFont="1" applyFill="1" applyBorder="1" applyAlignment="1" applyProtection="1">
      <alignment horizontal="left" vertical="center" wrapText="1"/>
    </xf>
    <xf numFmtId="0" fontId="42" fillId="7" borderId="11" xfId="0" applyFont="1" applyFill="1" applyBorder="1" applyAlignment="1" applyProtection="1">
      <alignment horizontal="center" vertical="center" wrapText="1"/>
    </xf>
    <xf numFmtId="0" fontId="42" fillId="7" borderId="11" xfId="0" applyFont="1" applyFill="1" applyBorder="1" applyAlignment="1" applyProtection="1">
      <alignment horizontal="left" vertical="center" wrapText="1"/>
    </xf>
    <xf numFmtId="0" fontId="42" fillId="4" borderId="10" xfId="0" applyFont="1" applyFill="1" applyBorder="1" applyAlignment="1" applyProtection="1">
      <alignment horizontal="center" vertical="center" wrapText="1"/>
    </xf>
    <xf numFmtId="0" fontId="42" fillId="4" borderId="10" xfId="0" applyFont="1" applyFill="1" applyBorder="1" applyAlignment="1" applyProtection="1">
      <alignment horizontal="left" vertical="center" wrapText="1"/>
    </xf>
    <xf numFmtId="0" fontId="42" fillId="7" borderId="10" xfId="0" applyFont="1" applyFill="1" applyBorder="1" applyAlignment="1" applyProtection="1">
      <alignment horizontal="left" vertical="center" wrapText="1" indent="1"/>
    </xf>
    <xf numFmtId="0" fontId="54" fillId="0" borderId="0" xfId="0" applyFont="1" applyFill="1" applyBorder="1" applyAlignment="1" applyProtection="1">
      <alignment horizontal="center" vertical="center" wrapText="1"/>
    </xf>
    <xf numFmtId="0" fontId="54" fillId="0" borderId="0" xfId="0" applyFont="1" applyFill="1" applyBorder="1" applyAlignment="1" applyProtection="1">
      <alignment horizontal="left" vertical="center" wrapText="1"/>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left" vertical="center" wrapText="1"/>
      <protection locked="0"/>
    </xf>
    <xf numFmtId="0" fontId="42" fillId="7" borderId="10" xfId="0" applyFont="1" applyFill="1" applyBorder="1" applyAlignment="1" applyProtection="1">
      <alignment horizontal="center" vertical="center" wrapText="1"/>
      <protection locked="0"/>
    </xf>
    <xf numFmtId="0" fontId="42" fillId="7" borderId="10" xfId="0" applyFont="1" applyFill="1" applyBorder="1" applyAlignment="1" applyProtection="1">
      <alignment horizontal="left" vertical="center" wrapText="1" indent="1"/>
      <protection locked="0"/>
    </xf>
    <xf numFmtId="0" fontId="42" fillId="7" borderId="10" xfId="0" applyFont="1" applyFill="1" applyBorder="1" applyAlignment="1" applyProtection="1">
      <alignment horizontal="left" vertical="center" wrapText="1"/>
      <protection locked="0"/>
    </xf>
    <xf numFmtId="3" fontId="43" fillId="8" borderId="1" xfId="6" applyNumberFormat="1" applyFont="1" applyFill="1" applyBorder="1" applyAlignment="1" applyProtection="1">
      <alignment vertical="center"/>
      <protection locked="0"/>
    </xf>
    <xf numFmtId="3" fontId="42" fillId="4" borderId="1" xfId="6" applyNumberFormat="1" applyFont="1" applyFill="1" applyBorder="1" applyAlignment="1" applyProtection="1">
      <alignment horizontal="right" vertical="center" wrapText="1"/>
    </xf>
    <xf numFmtId="3" fontId="43" fillId="2" borderId="1" xfId="6" applyNumberFormat="1" applyFont="1" applyFill="1" applyBorder="1" applyAlignment="1" applyProtection="1">
      <alignment horizontal="right"/>
    </xf>
    <xf numFmtId="3" fontId="42" fillId="0" borderId="0" xfId="6" applyNumberFormat="1" applyFont="1" applyFill="1" applyProtection="1"/>
    <xf numFmtId="0" fontId="42" fillId="0" borderId="1" xfId="6" applyFont="1" applyFill="1" applyBorder="1" applyAlignment="1" applyProtection="1">
      <alignment horizontal="center" vertical="center"/>
      <protection locked="0"/>
    </xf>
    <xf numFmtId="0" fontId="42" fillId="7" borderId="11" xfId="0" applyFont="1" applyFill="1" applyBorder="1" applyAlignment="1" applyProtection="1">
      <alignment horizontal="center" vertical="center" wrapText="1"/>
      <protection locked="0"/>
    </xf>
    <xf numFmtId="0" fontId="42" fillId="7" borderId="11" xfId="0" applyFont="1" applyFill="1" applyBorder="1" applyAlignment="1" applyProtection="1">
      <alignment horizontal="left" vertical="center" wrapText="1"/>
      <protection locked="0"/>
    </xf>
    <xf numFmtId="0" fontId="42" fillId="0" borderId="0" xfId="6" applyFont="1" applyFill="1" applyProtection="1">
      <protection locked="0"/>
    </xf>
    <xf numFmtId="0" fontId="42" fillId="0" borderId="0" xfId="0" applyFont="1" applyAlignment="1" applyProtection="1">
      <alignment vertical="center"/>
      <protection locked="0"/>
    </xf>
    <xf numFmtId="3" fontId="43" fillId="0" borderId="1" xfId="0" applyNumberFormat="1" applyFont="1" applyFill="1" applyBorder="1" applyAlignment="1" applyProtection="1">
      <alignment vertical="center"/>
    </xf>
    <xf numFmtId="0" fontId="42" fillId="0" borderId="1" xfId="0" applyFont="1" applyBorder="1" applyAlignment="1">
      <alignment horizontal="center" vertical="center"/>
    </xf>
    <xf numFmtId="3" fontId="42" fillId="0" borderId="1" xfId="0" applyNumberFormat="1" applyFont="1" applyBorder="1" applyAlignment="1">
      <alignment horizontal="center" vertical="center" wrapText="1"/>
    </xf>
    <xf numFmtId="3" fontId="44" fillId="5" borderId="1" xfId="0" applyNumberFormat="1" applyFont="1" applyFill="1" applyBorder="1" applyAlignment="1">
      <alignment horizontal="center" vertical="center" wrapText="1"/>
    </xf>
    <xf numFmtId="166" fontId="44" fillId="5" borderId="1" xfId="12" applyNumberFormat="1" applyFont="1" applyFill="1" applyBorder="1" applyAlignment="1">
      <alignment horizontal="center" vertical="center" wrapText="1"/>
    </xf>
    <xf numFmtId="3" fontId="44" fillId="0" borderId="1" xfId="0" applyNumberFormat="1" applyFont="1" applyBorder="1" applyAlignment="1">
      <alignment horizontal="center" vertical="center" wrapText="1"/>
    </xf>
    <xf numFmtId="3" fontId="42" fillId="0" borderId="0" xfId="0" applyNumberFormat="1" applyFont="1" applyAlignment="1">
      <alignment vertical="center"/>
    </xf>
    <xf numFmtId="3" fontId="44" fillId="5" borderId="1" xfId="12" applyNumberFormat="1" applyFont="1" applyFill="1" applyBorder="1" applyAlignment="1">
      <alignment horizontal="center" vertical="center" wrapText="1"/>
    </xf>
    <xf numFmtId="0" fontId="43" fillId="2" borderId="1" xfId="0" applyFont="1" applyFill="1" applyBorder="1" applyAlignment="1">
      <alignment horizontal="center" vertical="center"/>
    </xf>
    <xf numFmtId="3" fontId="43" fillId="2" borderId="1" xfId="0" applyNumberFormat="1" applyFont="1" applyFill="1" applyBorder="1" applyAlignment="1">
      <alignment horizontal="center" vertical="center" wrapText="1"/>
    </xf>
    <xf numFmtId="3" fontId="43" fillId="2" borderId="1" xfId="0" applyNumberFormat="1" applyFont="1" applyFill="1" applyBorder="1" applyAlignment="1">
      <alignment horizontal="right" vertical="center" wrapText="1"/>
    </xf>
    <xf numFmtId="3" fontId="45" fillId="2" borderId="1" xfId="0" applyNumberFormat="1" applyFont="1" applyFill="1" applyBorder="1" applyAlignment="1">
      <alignment horizontal="center" vertical="center" wrapText="1"/>
    </xf>
    <xf numFmtId="166" fontId="45" fillId="2" borderId="1" xfId="12" applyNumberFormat="1" applyFont="1" applyFill="1" applyBorder="1" applyAlignment="1">
      <alignment horizontal="center" vertical="center" wrapText="1"/>
    </xf>
    <xf numFmtId="3" fontId="45" fillId="2" borderId="1" xfId="0" applyNumberFormat="1" applyFont="1" applyFill="1" applyBorder="1" applyAlignment="1">
      <alignment horizontal="left" vertical="center" wrapText="1"/>
    </xf>
    <xf numFmtId="49" fontId="43" fillId="2" borderId="1" xfId="0" applyNumberFormat="1" applyFont="1" applyFill="1" applyBorder="1" applyAlignment="1">
      <alignment horizontal="center" vertical="center"/>
    </xf>
    <xf numFmtId="3" fontId="43" fillId="2" borderId="1" xfId="0" applyNumberFormat="1" applyFont="1" applyFill="1" applyBorder="1" applyAlignment="1">
      <alignment horizontal="left" vertical="center" wrapText="1"/>
    </xf>
    <xf numFmtId="3" fontId="43" fillId="0" borderId="0" xfId="0" applyNumberFormat="1" applyFont="1" applyAlignment="1">
      <alignment vertical="center"/>
    </xf>
    <xf numFmtId="49" fontId="42" fillId="3" borderId="1" xfId="0" applyNumberFormat="1" applyFont="1" applyFill="1" applyBorder="1" applyAlignment="1">
      <alignment horizontal="center" vertical="center"/>
    </xf>
    <xf numFmtId="3" fontId="42" fillId="3" borderId="1" xfId="0" applyNumberFormat="1" applyFont="1" applyFill="1" applyBorder="1" applyAlignment="1">
      <alignment horizontal="left" vertical="center" wrapText="1"/>
    </xf>
    <xf numFmtId="3" fontId="44" fillId="3" borderId="1" xfId="0" applyNumberFormat="1" applyFont="1" applyFill="1" applyBorder="1" applyAlignment="1">
      <alignment horizontal="center" vertical="center" wrapText="1"/>
    </xf>
    <xf numFmtId="166" fontId="44" fillId="3" borderId="1" xfId="12" applyNumberFormat="1" applyFont="1" applyFill="1" applyBorder="1" applyAlignment="1">
      <alignment horizontal="center" vertical="center" wrapText="1"/>
    </xf>
    <xf numFmtId="3" fontId="42" fillId="0" borderId="1" xfId="0" applyNumberFormat="1" applyFont="1" applyBorder="1" applyAlignment="1">
      <alignment horizontal="left" vertical="center" wrapText="1"/>
    </xf>
    <xf numFmtId="3" fontId="42" fillId="0" borderId="1" xfId="0" applyNumberFormat="1" applyFont="1" applyBorder="1" applyAlignment="1" applyProtection="1">
      <alignment horizontal="right" vertical="center" wrapText="1"/>
      <protection locked="0"/>
    </xf>
    <xf numFmtId="49" fontId="43" fillId="3" borderId="1" xfId="0" applyNumberFormat="1" applyFont="1" applyFill="1" applyBorder="1" applyAlignment="1">
      <alignment horizontal="center" vertical="center"/>
    </xf>
    <xf numFmtId="3" fontId="43"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center" vertical="center" wrapText="1"/>
    </xf>
    <xf numFmtId="166" fontId="45" fillId="3" borderId="1" xfId="12" applyNumberFormat="1" applyFont="1" applyFill="1" applyBorder="1" applyAlignment="1">
      <alignment horizontal="center" vertical="center" wrapText="1"/>
    </xf>
    <xf numFmtId="3" fontId="43" fillId="3" borderId="1" xfId="1" applyNumberFormat="1" applyFont="1" applyFill="1" applyBorder="1" applyAlignment="1">
      <alignment horizontal="left" vertical="center" wrapText="1"/>
    </xf>
    <xf numFmtId="3" fontId="46" fillId="0" borderId="0" xfId="0" applyNumberFormat="1" applyFont="1" applyAlignment="1">
      <alignment vertical="center"/>
    </xf>
    <xf numFmtId="49" fontId="43" fillId="0" borderId="1" xfId="0" applyNumberFormat="1" applyFont="1" applyBorder="1" applyAlignment="1">
      <alignment horizontal="center" vertical="center"/>
    </xf>
    <xf numFmtId="3" fontId="43" fillId="0" borderId="1" xfId="1" applyNumberFormat="1" applyFont="1" applyBorder="1" applyAlignment="1">
      <alignment horizontal="left" vertical="center" wrapText="1"/>
    </xf>
    <xf numFmtId="3" fontId="43" fillId="0" borderId="1" xfId="1" applyNumberFormat="1" applyFont="1" applyBorder="1" applyAlignment="1" applyProtection="1">
      <alignment horizontal="right" vertical="center" wrapText="1"/>
      <protection locked="0"/>
    </xf>
    <xf numFmtId="3" fontId="43" fillId="0" borderId="1" xfId="0" applyNumberFormat="1" applyFont="1" applyBorder="1" applyAlignment="1" applyProtection="1">
      <alignment horizontal="right" vertical="center" wrapText="1"/>
      <protection locked="0"/>
    </xf>
    <xf numFmtId="3" fontId="45" fillId="0" borderId="1" xfId="0" applyNumberFormat="1" applyFont="1" applyBorder="1" applyAlignment="1">
      <alignment horizontal="center" vertical="center" wrapText="1"/>
    </xf>
    <xf numFmtId="166" fontId="45" fillId="0" borderId="1" xfId="12" applyNumberFormat="1" applyFont="1" applyBorder="1" applyAlignment="1">
      <alignment horizontal="center" vertical="center" wrapText="1"/>
    </xf>
    <xf numFmtId="3" fontId="45" fillId="0" borderId="1" xfId="0" applyNumberFormat="1" applyFont="1" applyBorder="1" applyAlignment="1" applyProtection="1">
      <alignment horizontal="left" vertical="center" wrapText="1"/>
      <protection locked="0"/>
    </xf>
    <xf numFmtId="0" fontId="43" fillId="2" borderId="1" xfId="0" applyFont="1" applyFill="1" applyBorder="1" applyAlignment="1">
      <alignment vertical="center" wrapText="1"/>
    </xf>
    <xf numFmtId="0" fontId="43" fillId="2" borderId="1" xfId="0" applyFont="1" applyFill="1" applyBorder="1" applyAlignment="1">
      <alignment horizontal="right" vertical="center" wrapText="1"/>
    </xf>
    <xf numFmtId="0" fontId="43" fillId="3" borderId="1" xfId="0" applyFont="1" applyFill="1" applyBorder="1" applyAlignment="1">
      <alignment horizontal="center" vertical="center"/>
    </xf>
    <xf numFmtId="0" fontId="43" fillId="3" borderId="1" xfId="0" applyFont="1" applyFill="1" applyBorder="1" applyAlignment="1">
      <alignment vertical="center" wrapText="1"/>
    </xf>
    <xf numFmtId="0" fontId="42" fillId="3" borderId="1" xfId="0" applyFont="1" applyFill="1" applyBorder="1" applyAlignment="1">
      <alignment horizontal="right" vertical="center" wrapText="1"/>
    </xf>
    <xf numFmtId="0" fontId="42" fillId="3" borderId="1" xfId="0" applyFont="1" applyFill="1" applyBorder="1" applyAlignment="1">
      <alignment horizontal="center" vertical="center"/>
    </xf>
    <xf numFmtId="0" fontId="42" fillId="3" borderId="1" xfId="0" applyFont="1" applyFill="1" applyBorder="1" applyAlignment="1">
      <alignment vertical="center" wrapText="1"/>
    </xf>
    <xf numFmtId="0" fontId="43" fillId="2" borderId="1" xfId="0" applyFont="1" applyFill="1" applyBorder="1" applyAlignment="1">
      <alignment horizontal="left" vertical="center" wrapText="1"/>
    </xf>
    <xf numFmtId="0" fontId="42" fillId="3" borderId="1" xfId="0" applyFont="1" applyFill="1" applyBorder="1" applyAlignment="1">
      <alignment horizontal="left" vertical="center" wrapText="1"/>
    </xf>
    <xf numFmtId="166" fontId="44" fillId="0" borderId="1" xfId="12" applyNumberFormat="1" applyFont="1" applyBorder="1" applyAlignment="1">
      <alignment horizontal="center" vertical="center" wrapText="1"/>
    </xf>
    <xf numFmtId="3" fontId="44" fillId="0" borderId="1" xfId="0" applyNumberFormat="1" applyFont="1" applyBorder="1" applyAlignment="1" applyProtection="1">
      <alignment horizontal="left" vertical="center" wrapText="1"/>
      <protection locked="0"/>
    </xf>
    <xf numFmtId="0" fontId="43" fillId="3" borderId="1" xfId="0" applyFont="1" applyFill="1" applyBorder="1" applyAlignment="1">
      <alignment horizontal="left" vertical="center" wrapText="1"/>
    </xf>
    <xf numFmtId="0" fontId="43" fillId="3" borderId="1" xfId="0" applyFont="1" applyFill="1" applyBorder="1" applyAlignment="1">
      <alignment horizontal="left" vertical="center"/>
    </xf>
    <xf numFmtId="0" fontId="42" fillId="2" borderId="1" xfId="0" applyFont="1" applyFill="1" applyBorder="1" applyAlignment="1">
      <alignment horizontal="center" vertical="center"/>
    </xf>
    <xf numFmtId="0" fontId="42" fillId="2" borderId="1" xfId="0" applyFont="1" applyFill="1" applyBorder="1" applyAlignment="1">
      <alignment horizontal="left" vertical="center" wrapText="1"/>
    </xf>
    <xf numFmtId="0" fontId="42" fillId="2" borderId="1" xfId="0" applyFont="1" applyFill="1" applyBorder="1" applyAlignment="1">
      <alignment horizontal="right" vertical="center" wrapText="1"/>
    </xf>
    <xf numFmtId="3" fontId="44" fillId="2" borderId="1" xfId="0" applyNumberFormat="1" applyFont="1" applyFill="1" applyBorder="1" applyAlignment="1">
      <alignment horizontal="center" vertical="center" wrapText="1"/>
    </xf>
    <xf numFmtId="166" fontId="44" fillId="2" borderId="1" xfId="12" applyNumberFormat="1" applyFont="1" applyFill="1" applyBorder="1" applyAlignment="1">
      <alignment horizontal="center" vertical="center" wrapText="1"/>
    </xf>
    <xf numFmtId="3" fontId="44" fillId="2" borderId="1" xfId="0" applyNumberFormat="1" applyFont="1" applyFill="1" applyBorder="1" applyAlignment="1">
      <alignment horizontal="left" vertical="center" wrapText="1"/>
    </xf>
    <xf numFmtId="0" fontId="42" fillId="3" borderId="1" xfId="0" applyFont="1" applyFill="1" applyBorder="1" applyAlignment="1">
      <alignment horizontal="left" vertical="center"/>
    </xf>
    <xf numFmtId="0" fontId="45" fillId="2" borderId="1" xfId="0" applyFont="1" applyFill="1" applyBorder="1" applyAlignment="1">
      <alignment horizontal="center" vertical="center"/>
    </xf>
    <xf numFmtId="3" fontId="45" fillId="0" borderId="0" xfId="0" applyNumberFormat="1" applyFont="1" applyAlignment="1">
      <alignment vertical="center"/>
    </xf>
    <xf numFmtId="0" fontId="43" fillId="2" borderId="1" xfId="0" applyFont="1" applyFill="1" applyBorder="1" applyAlignment="1">
      <alignment horizontal="left" vertical="center"/>
    </xf>
    <xf numFmtId="0" fontId="42" fillId="0" borderId="1" xfId="0" applyFont="1" applyBorder="1" applyAlignment="1" applyProtection="1">
      <alignment horizontal="right" vertical="center" wrapText="1"/>
      <protection locked="0"/>
    </xf>
    <xf numFmtId="0" fontId="42" fillId="0" borderId="1" xfId="0" applyFont="1" applyBorder="1" applyAlignment="1">
      <alignment horizontal="left"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pplyProtection="1">
      <alignment horizontal="right" vertical="center" wrapText="1"/>
      <protection locked="0"/>
    </xf>
    <xf numFmtId="0" fontId="43" fillId="2"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3" fontId="42" fillId="0" borderId="0" xfId="4" applyNumberFormat="1" applyFont="1" applyAlignment="1">
      <alignment vertical="center"/>
    </xf>
    <xf numFmtId="0" fontId="42" fillId="3" borderId="1" xfId="0" applyFont="1" applyFill="1" applyBorder="1" applyAlignment="1">
      <alignment vertical="center"/>
    </xf>
    <xf numFmtId="0" fontId="42" fillId="2" borderId="1" xfId="1" applyFont="1" applyFill="1" applyBorder="1" applyAlignment="1">
      <alignment horizontal="center" vertical="center"/>
    </xf>
    <xf numFmtId="3" fontId="47" fillId="2" borderId="1" xfId="0" applyNumberFormat="1" applyFont="1" applyFill="1" applyBorder="1" applyAlignment="1">
      <alignment horizontal="left" vertical="center" wrapText="1"/>
    </xf>
    <xf numFmtId="3" fontId="47" fillId="2" borderId="1" xfId="0" applyNumberFormat="1" applyFont="1" applyFill="1" applyBorder="1" applyAlignment="1">
      <alignment horizontal="right" vertical="center" wrapText="1"/>
    </xf>
    <xf numFmtId="0" fontId="43" fillId="0" borderId="1" xfId="1" applyFont="1" applyBorder="1" applyAlignment="1">
      <alignment horizontal="center" vertical="center"/>
    </xf>
    <xf numFmtId="0" fontId="43" fillId="2" borderId="1" xfId="1" applyFont="1" applyFill="1" applyBorder="1" applyAlignment="1">
      <alignment horizontal="center" vertical="center"/>
    </xf>
    <xf numFmtId="0" fontId="42" fillId="3" borderId="1" xfId="1" applyFont="1" applyFill="1" applyBorder="1" applyAlignment="1">
      <alignment horizontal="center" vertical="center"/>
    </xf>
    <xf numFmtId="49" fontId="43" fillId="2" borderId="1" xfId="1" applyNumberFormat="1" applyFont="1" applyFill="1" applyBorder="1" applyAlignment="1">
      <alignment horizontal="center" vertical="center"/>
    </xf>
    <xf numFmtId="49" fontId="42" fillId="3" borderId="1" xfId="1" applyNumberFormat="1" applyFont="1" applyFill="1" applyBorder="1" applyAlignment="1">
      <alignment horizontal="center" vertical="center"/>
    </xf>
    <xf numFmtId="3" fontId="42" fillId="0" borderId="1" xfId="0" applyNumberFormat="1" applyFont="1" applyBorder="1" applyAlignment="1">
      <alignment vertical="center"/>
    </xf>
    <xf numFmtId="3" fontId="42" fillId="0" borderId="1" xfId="0" applyNumberFormat="1" applyFont="1" applyBorder="1" applyAlignment="1">
      <alignment vertical="center" wrapText="1"/>
    </xf>
    <xf numFmtId="0" fontId="43" fillId="0" borderId="1" xfId="0" applyFont="1" applyBorder="1" applyAlignment="1">
      <alignment horizontal="center" vertical="center"/>
    </xf>
    <xf numFmtId="3" fontId="43" fillId="0" borderId="1" xfId="0" applyNumberFormat="1" applyFont="1" applyBorder="1" applyAlignment="1">
      <alignment horizontal="left" vertical="center" wrapText="1"/>
    </xf>
    <xf numFmtId="3" fontId="42" fillId="0" borderId="0" xfId="0" applyNumberFormat="1" applyFont="1" applyAlignment="1">
      <alignment horizontal="center" vertical="center"/>
    </xf>
    <xf numFmtId="3" fontId="44" fillId="33" borderId="1" xfId="0" applyNumberFormat="1" applyFont="1" applyFill="1" applyBorder="1" applyAlignment="1" applyProtection="1">
      <alignment horizontal="left" vertical="center" wrapText="1"/>
      <protection locked="0"/>
    </xf>
    <xf numFmtId="0" fontId="42" fillId="0" borderId="1" xfId="6" applyFont="1" applyBorder="1" applyAlignment="1">
      <alignment horizontal="center" vertical="center"/>
    </xf>
    <xf numFmtId="3" fontId="42" fillId="0" borderId="1" xfId="1" applyNumberFormat="1" applyFont="1" applyBorder="1" applyAlignment="1">
      <alignment horizontal="center" vertical="center" wrapText="1"/>
    </xf>
    <xf numFmtId="0" fontId="42" fillId="0" borderId="0" xfId="0" applyFont="1" applyAlignment="1">
      <alignment vertical="center"/>
    </xf>
    <xf numFmtId="3" fontId="42" fillId="3" borderId="1" xfId="6" applyNumberFormat="1" applyFont="1" applyFill="1" applyBorder="1" applyAlignment="1">
      <alignment horizontal="center" vertical="center" wrapText="1"/>
    </xf>
    <xf numFmtId="3" fontId="42" fillId="3" borderId="1" xfId="6" applyNumberFormat="1" applyFont="1" applyFill="1" applyBorder="1" applyAlignment="1">
      <alignment horizontal="center" vertical="center"/>
    </xf>
    <xf numFmtId="3" fontId="44" fillId="3" borderId="1" xfId="6" applyNumberFormat="1" applyFont="1" applyFill="1" applyBorder="1" applyAlignment="1">
      <alignment horizontal="center" vertical="center"/>
    </xf>
    <xf numFmtId="49" fontId="43" fillId="2" borderId="5" xfId="6" applyNumberFormat="1" applyFont="1" applyFill="1" applyBorder="1" applyAlignment="1">
      <alignment horizontal="center" vertical="center"/>
    </xf>
    <xf numFmtId="0" fontId="43" fillId="2" borderId="7" xfId="6" applyFont="1" applyFill="1" applyBorder="1" applyAlignment="1">
      <alignment vertical="center" wrapText="1"/>
    </xf>
    <xf numFmtId="0" fontId="43" fillId="2" borderId="8" xfId="6" applyFont="1" applyFill="1" applyBorder="1" applyAlignment="1">
      <alignment horizontal="center" vertical="center" wrapText="1"/>
    </xf>
    <xf numFmtId="3" fontId="43" fillId="2" borderId="3" xfId="6" applyNumberFormat="1" applyFont="1" applyFill="1" applyBorder="1" applyAlignment="1">
      <alignment horizontal="center" vertical="center"/>
    </xf>
    <xf numFmtId="3" fontId="43" fillId="2" borderId="1" xfId="6" applyNumberFormat="1" applyFont="1" applyFill="1" applyBorder="1" applyAlignment="1">
      <alignment horizontal="center" vertical="center"/>
    </xf>
    <xf numFmtId="3" fontId="45" fillId="2" borderId="3" xfId="6" applyNumberFormat="1" applyFont="1" applyFill="1" applyBorder="1" applyAlignment="1">
      <alignment horizontal="center" vertical="center"/>
    </xf>
    <xf numFmtId="3" fontId="45" fillId="2" borderId="1" xfId="6" applyNumberFormat="1" applyFont="1" applyFill="1" applyBorder="1" applyAlignment="1">
      <alignment horizontal="center" vertical="center"/>
    </xf>
    <xf numFmtId="49" fontId="43" fillId="4" borderId="5" xfId="6" applyNumberFormat="1" applyFont="1" applyFill="1" applyBorder="1" applyAlignment="1">
      <alignment horizontal="center" vertical="center"/>
    </xf>
    <xf numFmtId="0" fontId="43" fillId="4" borderId="4" xfId="6" applyFont="1" applyFill="1" applyBorder="1" applyAlignment="1">
      <alignment vertical="center" wrapText="1"/>
    </xf>
    <xf numFmtId="0" fontId="43" fillId="4" borderId="4" xfId="6" applyFont="1" applyFill="1" applyBorder="1" applyAlignment="1">
      <alignment horizontal="center" vertical="center" wrapText="1"/>
    </xf>
    <xf numFmtId="3" fontId="43" fillId="4" borderId="1" xfId="6" applyNumberFormat="1" applyFont="1" applyFill="1" applyBorder="1" applyAlignment="1">
      <alignment horizontal="center" vertical="center"/>
    </xf>
    <xf numFmtId="3" fontId="45" fillId="4" borderId="1" xfId="6" applyNumberFormat="1" applyFont="1" applyFill="1" applyBorder="1" applyAlignment="1">
      <alignment horizontal="center" vertical="center"/>
    </xf>
    <xf numFmtId="49" fontId="42" fillId="0" borderId="5" xfId="6" applyNumberFormat="1" applyFont="1" applyBorder="1" applyAlignment="1">
      <alignment horizontal="center" vertical="center"/>
    </xf>
    <xf numFmtId="0" fontId="42" fillId="0" borderId="4" xfId="6" applyFont="1" applyBorder="1" applyAlignment="1">
      <alignment vertical="center" wrapText="1"/>
    </xf>
    <xf numFmtId="0" fontId="42" fillId="0" borderId="4" xfId="6" applyFont="1" applyBorder="1" applyAlignment="1">
      <alignment horizontal="center" vertical="center" wrapText="1"/>
    </xf>
    <xf numFmtId="0" fontId="42" fillId="3" borderId="1" xfId="6" applyFont="1" applyFill="1" applyBorder="1" applyAlignment="1">
      <alignment horizontal="center" vertical="center"/>
    </xf>
    <xf numFmtId="0" fontId="44" fillId="3" borderId="1" xfId="6" applyFont="1" applyFill="1" applyBorder="1" applyAlignment="1">
      <alignment horizontal="center" vertical="center"/>
    </xf>
    <xf numFmtId="166" fontId="44" fillId="3" borderId="1" xfId="12" applyNumberFormat="1" applyFont="1" applyFill="1" applyBorder="1" applyAlignment="1">
      <alignment horizontal="center" vertical="center"/>
    </xf>
    <xf numFmtId="0" fontId="44" fillId="3" borderId="1" xfId="6" applyFont="1" applyFill="1" applyBorder="1" applyAlignment="1" applyProtection="1">
      <alignment horizontal="left" vertical="center"/>
      <protection locked="0"/>
    </xf>
    <xf numFmtId="0" fontId="42" fillId="0" borderId="1" xfId="0" applyFont="1" applyBorder="1" applyAlignment="1">
      <alignment horizontal="left" vertical="center" wrapText="1" indent="2" readingOrder="1"/>
    </xf>
    <xf numFmtId="0" fontId="42" fillId="0" borderId="1" xfId="0" applyFont="1" applyBorder="1" applyAlignment="1" applyProtection="1">
      <alignment horizontal="center" vertical="center" wrapText="1"/>
      <protection locked="0"/>
    </xf>
    <xf numFmtId="0" fontId="42" fillId="3" borderId="1" xfId="6" applyFont="1" applyFill="1" applyBorder="1" applyAlignment="1" applyProtection="1">
      <alignment horizontal="center" vertical="center"/>
      <protection locked="0"/>
    </xf>
    <xf numFmtId="49" fontId="42" fillId="0" borderId="5" xfId="6" applyNumberFormat="1" applyFont="1" applyBorder="1" applyAlignment="1">
      <alignment horizontal="right" vertical="center"/>
    </xf>
    <xf numFmtId="0" fontId="44" fillId="0" borderId="1" xfId="0" applyFont="1" applyBorder="1" applyAlignment="1">
      <alignment horizontal="left" vertical="center" wrapText="1" indent="4" readingOrder="1"/>
    </xf>
    <xf numFmtId="0" fontId="42" fillId="0" borderId="6" xfId="0" applyFont="1" applyBorder="1" applyAlignment="1">
      <alignment horizontal="left" vertical="center" wrapText="1" readingOrder="1"/>
    </xf>
    <xf numFmtId="0" fontId="44" fillId="0" borderId="2" xfId="0" applyFont="1" applyBorder="1" applyAlignment="1">
      <alignment horizontal="center" vertical="center" wrapText="1"/>
    </xf>
    <xf numFmtId="166" fontId="44" fillId="0" borderId="2" xfId="12" applyNumberFormat="1" applyFont="1" applyBorder="1" applyAlignment="1">
      <alignment horizontal="center" vertical="center" wrapText="1"/>
    </xf>
    <xf numFmtId="0" fontId="44" fillId="0" borderId="2" xfId="0" applyFont="1" applyBorder="1" applyAlignment="1" applyProtection="1">
      <alignment horizontal="left" vertical="center" wrapText="1"/>
      <protection locked="0"/>
    </xf>
    <xf numFmtId="9" fontId="42" fillId="0" borderId="2" xfId="12" applyFont="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43" fillId="4" borderId="6" xfId="0" applyFont="1" applyFill="1" applyBorder="1" applyAlignment="1">
      <alignment horizontal="left" vertical="center" wrapText="1" readingOrder="1"/>
    </xf>
    <xf numFmtId="0" fontId="43" fillId="4" borderId="2" xfId="0" applyFont="1" applyFill="1" applyBorder="1" applyAlignment="1">
      <alignment horizontal="center" vertical="center" wrapText="1"/>
    </xf>
    <xf numFmtId="3" fontId="43" fillId="4" borderId="3" xfId="6" applyNumberFormat="1" applyFont="1" applyFill="1" applyBorder="1" applyAlignment="1">
      <alignment horizontal="center" vertical="center"/>
    </xf>
    <xf numFmtId="3" fontId="45" fillId="4" borderId="3" xfId="6" applyNumberFormat="1" applyFont="1" applyFill="1" applyBorder="1" applyAlignment="1">
      <alignment horizontal="center" vertical="center"/>
    </xf>
    <xf numFmtId="49" fontId="42" fillId="3" borderId="1" xfId="6" applyNumberFormat="1" applyFont="1" applyFill="1" applyBorder="1" applyAlignment="1">
      <alignment horizontal="center" vertical="center"/>
    </xf>
    <xf numFmtId="3" fontId="42" fillId="3" borderId="6" xfId="6" applyNumberFormat="1" applyFont="1" applyFill="1" applyBorder="1" applyAlignment="1">
      <alignment vertical="center" wrapText="1"/>
    </xf>
    <xf numFmtId="3" fontId="44" fillId="3" borderId="1" xfId="0" applyNumberFormat="1" applyFont="1" applyFill="1" applyBorder="1" applyAlignment="1">
      <alignment horizontal="center" vertical="center"/>
    </xf>
    <xf numFmtId="3" fontId="42" fillId="3" borderId="1" xfId="6" applyNumberFormat="1" applyFont="1" applyFill="1" applyBorder="1" applyAlignment="1">
      <alignment vertical="center" wrapText="1"/>
    </xf>
    <xf numFmtId="49" fontId="42" fillId="0" borderId="1" xfId="6" applyNumberFormat="1" applyFont="1" applyBorder="1" applyAlignment="1">
      <alignment horizontal="center" vertical="center"/>
    </xf>
    <xf numFmtId="3" fontId="42" fillId="0" borderId="1" xfId="6" applyNumberFormat="1" applyFont="1" applyBorder="1" applyAlignment="1">
      <alignment vertical="center" wrapText="1"/>
    </xf>
    <xf numFmtId="4" fontId="42" fillId="0" borderId="1" xfId="6" applyNumberFormat="1" applyFont="1" applyBorder="1" applyAlignment="1" applyProtection="1">
      <alignment horizontal="right" vertical="center" wrapText="1"/>
      <protection locked="0"/>
    </xf>
    <xf numFmtId="4" fontId="42" fillId="0" borderId="1" xfId="0" applyNumberFormat="1" applyFont="1" applyBorder="1" applyAlignment="1" applyProtection="1">
      <alignment horizontal="right" vertical="center"/>
      <protection locked="0"/>
    </xf>
    <xf numFmtId="4" fontId="44" fillId="0" borderId="1" xfId="0" applyNumberFormat="1" applyFont="1" applyBorder="1" applyAlignment="1">
      <alignment horizontal="center" vertical="center"/>
    </xf>
    <xf numFmtId="166" fontId="44" fillId="0" borderId="1" xfId="12" applyNumberFormat="1" applyFont="1" applyBorder="1" applyAlignment="1">
      <alignment horizontal="center" vertical="center"/>
    </xf>
    <xf numFmtId="3" fontId="42" fillId="3" borderId="6" xfId="6" applyNumberFormat="1" applyFont="1" applyFill="1" applyBorder="1" applyAlignment="1">
      <alignment horizontal="left" vertical="center" wrapText="1"/>
    </xf>
    <xf numFmtId="49" fontId="42" fillId="3" borderId="1" xfId="6" applyNumberFormat="1" applyFont="1" applyFill="1" applyBorder="1" applyAlignment="1">
      <alignment horizontal="right" vertical="center"/>
    </xf>
    <xf numFmtId="3" fontId="44" fillId="3" borderId="6" xfId="6" applyNumberFormat="1" applyFont="1" applyFill="1" applyBorder="1" applyAlignment="1">
      <alignment horizontal="left" vertical="center" wrapText="1" indent="2"/>
    </xf>
    <xf numFmtId="0" fontId="42" fillId="0" borderId="6" xfId="0" applyFont="1" applyBorder="1" applyAlignment="1" applyProtection="1">
      <alignment horizontal="right" vertical="center" wrapText="1"/>
      <protection locked="0"/>
    </xf>
    <xf numFmtId="3" fontId="42" fillId="0" borderId="1" xfId="6" applyNumberFormat="1" applyFont="1" applyBorder="1" applyAlignment="1" applyProtection="1">
      <alignment horizontal="right" vertical="center" wrapText="1"/>
      <protection locked="0"/>
    </xf>
    <xf numFmtId="3" fontId="42" fillId="0" borderId="1" xfId="0" applyNumberFormat="1" applyFont="1" applyBorder="1" applyAlignment="1" applyProtection="1">
      <alignment horizontal="right" vertical="center"/>
      <protection locked="0"/>
    </xf>
    <xf numFmtId="3" fontId="42" fillId="0" borderId="1" xfId="6" applyNumberFormat="1" applyFont="1" applyBorder="1" applyAlignment="1" applyProtection="1">
      <alignment horizontal="right" vertical="center"/>
      <protection locked="0"/>
    </xf>
    <xf numFmtId="3" fontId="44" fillId="0" borderId="1" xfId="0" applyNumberFormat="1" applyFont="1" applyBorder="1" applyAlignment="1">
      <alignment horizontal="center" vertical="center"/>
    </xf>
    <xf numFmtId="3" fontId="44" fillId="0" borderId="1" xfId="6" applyNumberFormat="1" applyFont="1" applyBorder="1" applyAlignment="1" applyProtection="1">
      <alignment horizontal="left" vertical="center"/>
      <protection locked="0"/>
    </xf>
    <xf numFmtId="49" fontId="43" fillId="4" borderId="1" xfId="6" applyNumberFormat="1" applyFont="1" applyFill="1" applyBorder="1" applyAlignment="1">
      <alignment horizontal="center" vertical="center"/>
    </xf>
    <xf numFmtId="3" fontId="43" fillId="4" borderId="1" xfId="6" applyNumberFormat="1" applyFont="1" applyFill="1" applyBorder="1" applyAlignment="1">
      <alignment vertical="center" wrapText="1"/>
    </xf>
    <xf numFmtId="3" fontId="43" fillId="4" borderId="3" xfId="6" applyNumberFormat="1" applyFont="1" applyFill="1" applyBorder="1" applyAlignment="1">
      <alignment horizontal="center" vertical="center" wrapText="1"/>
    </xf>
    <xf numFmtId="3" fontId="42" fillId="3" borderId="1" xfId="6" applyNumberFormat="1" applyFont="1" applyFill="1" applyBorder="1" applyAlignment="1">
      <alignment horizontal="right" vertical="center" wrapText="1"/>
    </xf>
    <xf numFmtId="3" fontId="42" fillId="3" borderId="1" xfId="0" applyNumberFormat="1" applyFont="1" applyFill="1" applyBorder="1" applyAlignment="1">
      <alignment vertical="center"/>
    </xf>
    <xf numFmtId="3" fontId="42" fillId="3" borderId="1" xfId="6" applyNumberFormat="1" applyFont="1" applyFill="1" applyBorder="1" applyAlignment="1">
      <alignment vertical="center"/>
    </xf>
    <xf numFmtId="3" fontId="42" fillId="3" borderId="1" xfId="6" applyNumberFormat="1" applyFont="1" applyFill="1" applyBorder="1" applyAlignment="1">
      <alignment horizontal="left" vertical="center" wrapText="1"/>
    </xf>
    <xf numFmtId="3" fontId="44" fillId="3" borderId="1" xfId="6" applyNumberFormat="1" applyFont="1" applyFill="1" applyBorder="1" applyAlignment="1">
      <alignment horizontal="left" vertical="center" wrapText="1" indent="2"/>
    </xf>
    <xf numFmtId="49" fontId="42" fillId="3" borderId="5" xfId="6" applyNumberFormat="1" applyFont="1" applyFill="1" applyBorder="1" applyAlignment="1">
      <alignment horizontal="center" vertical="center"/>
    </xf>
    <xf numFmtId="3" fontId="44" fillId="0" borderId="4" xfId="6" applyNumberFormat="1" applyFont="1" applyBorder="1" applyAlignment="1">
      <alignment horizontal="left" vertical="center" wrapText="1" indent="2"/>
    </xf>
    <xf numFmtId="3" fontId="42" fillId="0" borderId="9" xfId="6" applyNumberFormat="1" applyFont="1" applyBorder="1" applyAlignment="1" applyProtection="1">
      <alignment horizontal="right" vertical="center" wrapText="1"/>
      <protection locked="0"/>
    </xf>
    <xf numFmtId="3" fontId="44" fillId="3" borderId="3" xfId="0" applyNumberFormat="1" applyFont="1" applyFill="1" applyBorder="1" applyAlignment="1">
      <alignment horizontal="center" vertical="center"/>
    </xf>
    <xf numFmtId="0" fontId="43" fillId="2" borderId="4" xfId="6" applyFont="1" applyFill="1" applyBorder="1" applyAlignment="1">
      <alignment vertical="center" wrapText="1"/>
    </xf>
    <xf numFmtId="0" fontId="43" fillId="2" borderId="9" xfId="6" applyFont="1" applyFill="1" applyBorder="1" applyAlignment="1">
      <alignment horizontal="center" vertical="center" wrapText="1"/>
    </xf>
    <xf numFmtId="0" fontId="42" fillId="0" borderId="1" xfId="0" applyFont="1" applyBorder="1" applyAlignment="1">
      <alignment horizontal="left" vertical="center" wrapText="1" readingOrder="1"/>
    </xf>
    <xf numFmtId="4" fontId="42" fillId="0" borderId="1" xfId="0" applyNumberFormat="1" applyFont="1" applyBorder="1" applyAlignment="1" applyProtection="1">
      <alignment horizontal="right" vertical="center" wrapText="1"/>
      <protection locked="0"/>
    </xf>
    <xf numFmtId="4" fontId="44" fillId="3" borderId="1" xfId="6" applyNumberFormat="1" applyFont="1" applyFill="1" applyBorder="1" applyAlignment="1">
      <alignment horizontal="center" vertical="center"/>
    </xf>
    <xf numFmtId="0" fontId="43" fillId="2" borderId="1" xfId="0" applyFont="1" applyFill="1" applyBorder="1" applyAlignment="1">
      <alignment horizontal="left" vertical="center" wrapText="1" readingOrder="1"/>
    </xf>
    <xf numFmtId="0" fontId="43" fillId="2" borderId="3" xfId="0" applyFont="1" applyFill="1" applyBorder="1" applyAlignment="1">
      <alignment horizontal="center" vertical="center" wrapText="1"/>
    </xf>
    <xf numFmtId="49" fontId="43" fillId="2" borderId="1" xfId="6" applyNumberFormat="1" applyFont="1" applyFill="1" applyBorder="1" applyAlignment="1">
      <alignment horizontal="center" vertical="center"/>
    </xf>
    <xf numFmtId="3" fontId="43" fillId="2" borderId="1" xfId="6" applyNumberFormat="1" applyFont="1" applyFill="1" applyBorder="1" applyAlignment="1">
      <alignment vertical="center" wrapText="1"/>
    </xf>
    <xf numFmtId="3" fontId="43" fillId="2" borderId="1" xfId="6" applyNumberFormat="1" applyFont="1" applyFill="1" applyBorder="1" applyAlignment="1">
      <alignment horizontal="right" vertical="center" wrapText="1"/>
    </xf>
    <xf numFmtId="3" fontId="45" fillId="2" borderId="1" xfId="6" applyNumberFormat="1" applyFont="1" applyFill="1" applyBorder="1" applyAlignment="1">
      <alignment horizontal="center" vertical="center" wrapText="1"/>
    </xf>
    <xf numFmtId="0" fontId="42" fillId="3" borderId="1" xfId="6" applyFont="1" applyFill="1" applyBorder="1" applyAlignment="1">
      <alignment vertical="center"/>
    </xf>
    <xf numFmtId="0" fontId="42" fillId="3" borderId="1" xfId="6" applyFont="1" applyFill="1" applyBorder="1" applyAlignment="1">
      <alignment vertical="center" wrapText="1"/>
    </xf>
    <xf numFmtId="3" fontId="47" fillId="2" borderId="1" xfId="6" applyNumberFormat="1" applyFont="1" applyFill="1" applyBorder="1" applyAlignment="1">
      <alignment vertical="center" wrapText="1"/>
    </xf>
    <xf numFmtId="49" fontId="43" fillId="32" borderId="1" xfId="6" applyNumberFormat="1" applyFont="1" applyFill="1" applyBorder="1" applyAlignment="1">
      <alignment horizontal="center" vertical="center"/>
    </xf>
    <xf numFmtId="0" fontId="43" fillId="32" borderId="1" xfId="6" applyFont="1" applyFill="1" applyBorder="1" applyAlignment="1">
      <alignment vertical="center" wrapText="1"/>
    </xf>
    <xf numFmtId="0" fontId="43" fillId="32" borderId="3" xfId="6" applyFont="1" applyFill="1" applyBorder="1" applyAlignment="1">
      <alignment horizontal="center" vertical="center" wrapText="1"/>
    </xf>
    <xf numFmtId="3" fontId="43" fillId="32" borderId="3" xfId="6" applyNumberFormat="1" applyFont="1" applyFill="1" applyBorder="1" applyAlignment="1">
      <alignment horizontal="center" vertical="center"/>
    </xf>
    <xf numFmtId="3" fontId="43" fillId="32" borderId="1" xfId="6" applyNumberFormat="1" applyFont="1" applyFill="1" applyBorder="1" applyAlignment="1">
      <alignment horizontal="center" vertical="center"/>
    </xf>
    <xf numFmtId="3" fontId="45" fillId="32" borderId="3" xfId="6" applyNumberFormat="1" applyFont="1" applyFill="1" applyBorder="1" applyAlignment="1">
      <alignment horizontal="center" vertical="center"/>
    </xf>
    <xf numFmtId="3" fontId="45" fillId="32" borderId="1" xfId="6" applyNumberFormat="1" applyFont="1" applyFill="1" applyBorder="1" applyAlignment="1">
      <alignment horizontal="center" vertical="center"/>
    </xf>
    <xf numFmtId="3" fontId="44" fillId="3" borderId="3" xfId="6" applyNumberFormat="1" applyFont="1" applyFill="1" applyBorder="1" applyAlignment="1">
      <alignment horizontal="center" vertical="center"/>
    </xf>
    <xf numFmtId="3" fontId="43" fillId="2" borderId="3" xfId="6" applyNumberFormat="1" applyFont="1" applyFill="1" applyBorder="1" applyAlignment="1">
      <alignment horizontal="center" vertical="center" wrapText="1"/>
    </xf>
    <xf numFmtId="3" fontId="44" fillId="0" borderId="1" xfId="6" applyNumberFormat="1" applyFont="1" applyBorder="1" applyAlignment="1">
      <alignment horizontal="center" vertical="center"/>
    </xf>
    <xf numFmtId="3" fontId="44" fillId="0" borderId="1" xfId="6" applyNumberFormat="1" applyFont="1" applyBorder="1" applyAlignment="1">
      <alignment horizontal="left" vertical="center" wrapText="1" indent="2"/>
    </xf>
    <xf numFmtId="3" fontId="42" fillId="0" borderId="1" xfId="6" applyNumberFormat="1" applyFont="1" applyBorder="1" applyAlignment="1">
      <alignment horizontal="left" vertical="center" wrapText="1"/>
    </xf>
    <xf numFmtId="3" fontId="43" fillId="32" borderId="1" xfId="6" applyNumberFormat="1" applyFont="1" applyFill="1" applyBorder="1" applyAlignment="1">
      <alignment horizontal="left" vertical="center" wrapText="1"/>
    </xf>
    <xf numFmtId="3" fontId="43" fillId="32" borderId="1" xfId="6" applyNumberFormat="1" applyFont="1" applyFill="1" applyBorder="1" applyAlignment="1">
      <alignment horizontal="center" vertical="center" wrapText="1"/>
    </xf>
    <xf numFmtId="3" fontId="43" fillId="32" borderId="1" xfId="0" applyNumberFormat="1" applyFont="1" applyFill="1" applyBorder="1" applyAlignment="1">
      <alignment horizontal="center" vertical="center"/>
    </xf>
    <xf numFmtId="3" fontId="45" fillId="32" borderId="1" xfId="0" applyNumberFormat="1" applyFont="1" applyFill="1" applyBorder="1" applyAlignment="1">
      <alignment horizontal="center" vertical="center"/>
    </xf>
    <xf numFmtId="4" fontId="42" fillId="0" borderId="1" xfId="6" applyNumberFormat="1" applyFont="1" applyBorder="1" applyAlignment="1" applyProtection="1">
      <alignment horizontal="right" vertical="center"/>
      <protection locked="0"/>
    </xf>
    <xf numFmtId="49" fontId="42" fillId="0" borderId="0" xfId="6" applyNumberFormat="1" applyFont="1" applyAlignment="1">
      <alignment horizontal="center" vertical="center"/>
    </xf>
    <xf numFmtId="3" fontId="42" fillId="0" borderId="0" xfId="6" applyNumberFormat="1" applyFont="1" applyAlignment="1">
      <alignment horizontal="left" vertical="center" wrapText="1"/>
    </xf>
    <xf numFmtId="3" fontId="42" fillId="0" borderId="0" xfId="6" applyNumberFormat="1" applyFont="1" applyAlignment="1">
      <alignment horizontal="right" vertical="center" wrapText="1"/>
    </xf>
    <xf numFmtId="3" fontId="42" fillId="0" borderId="0" xfId="0" applyNumberFormat="1" applyFont="1" applyAlignment="1">
      <alignment horizontal="right" vertical="center"/>
    </xf>
    <xf numFmtId="3" fontId="42" fillId="0" borderId="0" xfId="6" applyNumberFormat="1" applyFont="1" applyAlignment="1">
      <alignment horizontal="right" vertical="center"/>
    </xf>
    <xf numFmtId="3" fontId="44" fillId="0" borderId="0" xfId="0" applyNumberFormat="1" applyFont="1" applyAlignment="1">
      <alignment horizontal="center" vertical="center"/>
    </xf>
    <xf numFmtId="3" fontId="44" fillId="0" borderId="0" xfId="6" applyNumberFormat="1" applyFont="1" applyAlignment="1">
      <alignment horizontal="center" vertical="center"/>
    </xf>
    <xf numFmtId="0" fontId="42" fillId="0" borderId="0" xfId="0" applyFont="1" applyAlignment="1">
      <alignment vertical="center" wrapText="1"/>
    </xf>
    <xf numFmtId="0" fontId="42" fillId="0" borderId="0" xfId="0" applyFont="1" applyAlignment="1">
      <alignment horizontal="right" vertical="center"/>
    </xf>
    <xf numFmtId="0" fontId="44" fillId="0" borderId="0" xfId="0" applyFont="1" applyAlignment="1">
      <alignment horizontal="center" vertical="center"/>
    </xf>
    <xf numFmtId="3" fontId="44" fillId="33" borderId="1" xfId="6" applyNumberFormat="1" applyFont="1" applyFill="1" applyBorder="1" applyAlignment="1" applyProtection="1">
      <alignment horizontal="left" vertical="center"/>
      <protection locked="0"/>
    </xf>
    <xf numFmtId="3" fontId="42" fillId="0" borderId="1" xfId="6" applyNumberFormat="1" applyFont="1" applyFill="1" applyBorder="1" applyAlignment="1" applyProtection="1">
      <alignment horizontal="right" vertical="center" wrapText="1"/>
      <protection locked="0"/>
    </xf>
    <xf numFmtId="3" fontId="42" fillId="0" borderId="1" xfId="6" applyNumberFormat="1" applyFont="1" applyFill="1" applyBorder="1" applyAlignment="1" applyProtection="1">
      <alignment horizontal="right" vertical="center" wrapText="1"/>
      <protection locked="0"/>
    </xf>
    <xf numFmtId="3" fontId="42" fillId="0" borderId="1" xfId="6" applyNumberFormat="1" applyFont="1" applyFill="1" applyBorder="1" applyAlignment="1" applyProtection="1">
      <alignment horizontal="right" vertical="center" wrapText="1"/>
      <protection locked="0"/>
    </xf>
    <xf numFmtId="0" fontId="42" fillId="0" borderId="0" xfId="6" applyFont="1" applyFill="1" applyBorder="1" applyAlignment="1" applyProtection="1">
      <alignment horizontal="left" vertical="center" wrapText="1"/>
    </xf>
    <xf numFmtId="4" fontId="44" fillId="33" borderId="1" xfId="0" applyNumberFormat="1" applyFont="1" applyFill="1" applyBorder="1" applyAlignment="1" applyProtection="1">
      <alignment horizontal="left" vertical="center"/>
      <protection locked="0"/>
    </xf>
    <xf numFmtId="3" fontId="44" fillId="33" borderId="1" xfId="0" applyNumberFormat="1" applyFont="1" applyFill="1" applyBorder="1" applyAlignment="1" applyProtection="1">
      <alignment horizontal="left" vertical="center"/>
      <protection locked="0"/>
    </xf>
    <xf numFmtId="3" fontId="44" fillId="33" borderId="1" xfId="0" applyNumberFormat="1" applyFont="1" applyFill="1" applyBorder="1" applyAlignment="1">
      <alignment horizontal="left" vertical="center" wrapText="1"/>
    </xf>
    <xf numFmtId="3" fontId="44" fillId="0" borderId="1" xfId="0" applyNumberFormat="1" applyFont="1" applyFill="1" applyBorder="1" applyAlignment="1" applyProtection="1">
      <alignment horizontal="left" vertical="center" wrapText="1"/>
      <protection locked="0"/>
    </xf>
    <xf numFmtId="9" fontId="44" fillId="3" borderId="1" xfId="6" applyNumberFormat="1" applyFont="1" applyFill="1" applyBorder="1" applyAlignment="1">
      <alignment horizontal="center" vertical="center"/>
    </xf>
    <xf numFmtId="3" fontId="55" fillId="3" borderId="1" xfId="0" applyNumberFormat="1" applyFont="1" applyFill="1" applyBorder="1" applyAlignment="1" applyProtection="1">
      <alignment horizontal="left" vertical="center" wrapText="1"/>
      <protection locked="0"/>
    </xf>
    <xf numFmtId="3" fontId="55" fillId="0" borderId="1" xfId="6" applyNumberFormat="1" applyFont="1" applyFill="1" applyBorder="1" applyAlignment="1" applyProtection="1">
      <alignment horizontal="left" vertical="center" wrapText="1"/>
      <protection locked="0"/>
    </xf>
    <xf numFmtId="3" fontId="42" fillId="34" borderId="6" xfId="6" applyNumberFormat="1" applyFont="1" applyFill="1" applyBorder="1" applyAlignment="1" applyProtection="1">
      <alignment horizontal="right" vertical="center" wrapText="1"/>
      <protection locked="0"/>
    </xf>
    <xf numFmtId="3" fontId="42" fillId="34" borderId="1" xfId="6" applyNumberFormat="1" applyFont="1" applyFill="1" applyBorder="1" applyAlignment="1" applyProtection="1">
      <alignment horizontal="right" vertical="center"/>
      <protection locked="0"/>
    </xf>
    <xf numFmtId="0" fontId="42" fillId="34" borderId="1" xfId="0" applyFont="1" applyFill="1" applyBorder="1" applyAlignment="1" applyProtection="1">
      <alignment horizontal="center" vertical="center" wrapText="1"/>
      <protection locked="0"/>
    </xf>
    <xf numFmtId="0" fontId="42" fillId="34" borderId="1" xfId="6" applyFont="1" applyFill="1" applyBorder="1" applyAlignment="1" applyProtection="1">
      <alignment horizontal="center" vertical="center"/>
      <protection locked="0"/>
    </xf>
    <xf numFmtId="0" fontId="42" fillId="34" borderId="1" xfId="0" applyFont="1" applyFill="1" applyBorder="1" applyAlignment="1">
      <alignment horizontal="center" vertical="center" wrapText="1"/>
    </xf>
    <xf numFmtId="0" fontId="42" fillId="34" borderId="1" xfId="6" applyFont="1" applyFill="1" applyBorder="1" applyAlignment="1">
      <alignment horizontal="center" vertical="center"/>
    </xf>
    <xf numFmtId="0" fontId="42" fillId="34" borderId="2" xfId="0" applyFont="1" applyFill="1" applyBorder="1" applyAlignment="1">
      <alignment horizontal="center" vertical="center" wrapText="1"/>
    </xf>
    <xf numFmtId="0" fontId="42" fillId="0" borderId="1" xfId="0"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wrapText="1"/>
    </xf>
    <xf numFmtId="0" fontId="42" fillId="0" borderId="1" xfId="6" applyFont="1" applyFill="1" applyBorder="1" applyAlignment="1">
      <alignment horizontal="center" vertical="center"/>
    </xf>
    <xf numFmtId="0" fontId="42" fillId="0" borderId="2" xfId="0" applyFont="1" applyFill="1" applyBorder="1" applyAlignment="1">
      <alignment horizontal="center" vertical="center" wrapText="1"/>
    </xf>
    <xf numFmtId="3" fontId="42" fillId="0" borderId="6" xfId="6" applyNumberFormat="1" applyFont="1" applyFill="1" applyBorder="1" applyAlignment="1" applyProtection="1">
      <alignment horizontal="right" vertical="center" wrapText="1"/>
      <protection locked="0"/>
    </xf>
    <xf numFmtId="3" fontId="42" fillId="0" borderId="1" xfId="0" applyNumberFormat="1" applyFont="1" applyFill="1" applyBorder="1" applyAlignment="1" applyProtection="1">
      <alignment horizontal="right" vertical="center"/>
      <protection locked="0"/>
    </xf>
    <xf numFmtId="3" fontId="42" fillId="0" borderId="0" xfId="0" applyNumberFormat="1" applyFont="1" applyAlignment="1">
      <alignment horizontal="left" vertical="center" wrapText="1"/>
    </xf>
    <xf numFmtId="16" fontId="43" fillId="3" borderId="16" xfId="6" applyNumberFormat="1" applyFont="1" applyFill="1" applyBorder="1" applyAlignment="1" applyProtection="1">
      <alignment horizontal="left" vertical="center" wrapText="1"/>
    </xf>
    <xf numFmtId="0" fontId="42" fillId="0" borderId="0" xfId="0" applyFont="1" applyAlignment="1" applyProtection="1">
      <alignment horizontal="left" vertical="center" wrapText="1"/>
    </xf>
    <xf numFmtId="0" fontId="42" fillId="0" borderId="0" xfId="0" applyFont="1" applyAlignment="1">
      <alignment horizontal="left" vertical="center" wrapText="1"/>
    </xf>
    <xf numFmtId="0" fontId="42" fillId="0" borderId="0" xfId="1467" applyFont="1" applyFill="1" applyAlignment="1" applyProtection="1">
      <alignment horizontal="left" vertical="center" wrapText="1"/>
    </xf>
    <xf numFmtId="0" fontId="43" fillId="3" borderId="5" xfId="1" applyNumberFormat="1" applyFont="1" applyFill="1" applyBorder="1" applyAlignment="1" applyProtection="1">
      <alignment horizontal="center" vertical="center"/>
      <protection locked="0"/>
    </xf>
    <xf numFmtId="0" fontId="43" fillId="3" borderId="16" xfId="1" applyNumberFormat="1" applyFont="1" applyFill="1" applyBorder="1" applyAlignment="1" applyProtection="1">
      <alignment horizontal="center" vertical="center"/>
      <protection locked="0"/>
    </xf>
    <xf numFmtId="0" fontId="42" fillId="3" borderId="5" xfId="1" applyNumberFormat="1" applyFont="1" applyFill="1" applyBorder="1" applyAlignment="1" applyProtection="1">
      <alignment horizontal="center" vertical="center"/>
      <protection locked="0"/>
    </xf>
    <xf numFmtId="0" fontId="42" fillId="3" borderId="16" xfId="1" applyNumberFormat="1" applyFont="1" applyFill="1" applyBorder="1" applyAlignment="1" applyProtection="1">
      <alignment horizontal="center" vertical="center"/>
      <protection locked="0"/>
    </xf>
    <xf numFmtId="0" fontId="42" fillId="0" borderId="14" xfId="6" applyFont="1" applyFill="1" applyBorder="1" applyAlignment="1" applyProtection="1">
      <alignment horizontal="left" vertical="center" wrapText="1"/>
    </xf>
    <xf numFmtId="0" fontId="42" fillId="0" borderId="0" xfId="6" applyFont="1" applyFill="1" applyBorder="1" applyAlignment="1" applyProtection="1">
      <alignment horizontal="left" vertical="center" wrapText="1"/>
    </xf>
    <xf numFmtId="0" fontId="42" fillId="0" borderId="15" xfId="6" applyFont="1" applyFill="1" applyBorder="1" applyAlignment="1" applyProtection="1">
      <alignment horizontal="left" vertical="center" wrapText="1"/>
    </xf>
    <xf numFmtId="0" fontId="42" fillId="0" borderId="14" xfId="6" applyFont="1" applyFill="1" applyBorder="1" applyAlignment="1" applyProtection="1">
      <alignment horizontal="left" vertical="center"/>
    </xf>
    <xf numFmtId="0" fontId="42" fillId="0" borderId="0" xfId="6" applyFont="1" applyFill="1" applyBorder="1" applyAlignment="1" applyProtection="1">
      <alignment horizontal="left" vertical="center"/>
    </xf>
  </cellXfs>
  <cellStyles count="1490">
    <cellStyle name="_ieguld.plāns" xfId="13"/>
    <cellStyle name="20% - Accent1 10" xfId="14"/>
    <cellStyle name="20% - Accent1 10 2" xfId="15"/>
    <cellStyle name="20% - Accent1 10 2 2" xfId="16"/>
    <cellStyle name="20% - Accent1 10 3" xfId="17"/>
    <cellStyle name="20% - Accent1 11" xfId="18"/>
    <cellStyle name="20% - Accent1 11 2" xfId="19"/>
    <cellStyle name="20% - Accent1 11 2 2" xfId="20"/>
    <cellStyle name="20% - Accent1 11 3" xfId="21"/>
    <cellStyle name="20% - Accent1 12" xfId="22"/>
    <cellStyle name="20% - Accent1 12 2" xfId="23"/>
    <cellStyle name="20% - Accent1 12 2 2" xfId="24"/>
    <cellStyle name="20% - Accent1 12 3" xfId="25"/>
    <cellStyle name="20% - Accent1 13" xfId="26"/>
    <cellStyle name="20% - Accent1 13 2" xfId="27"/>
    <cellStyle name="20% - Accent1 13 2 2" xfId="28"/>
    <cellStyle name="20% - Accent1 13 3" xfId="29"/>
    <cellStyle name="20% - Accent1 14" xfId="30"/>
    <cellStyle name="20% - Accent1 14 2" xfId="31"/>
    <cellStyle name="20% - Accent1 14 2 2" xfId="32"/>
    <cellStyle name="20% - Accent1 14 3" xfId="33"/>
    <cellStyle name="20% - Accent1 15" xfId="34"/>
    <cellStyle name="20% - Accent1 15 2" xfId="35"/>
    <cellStyle name="20% - Accent1 15 2 2" xfId="36"/>
    <cellStyle name="20% - Accent1 15 3" xfId="37"/>
    <cellStyle name="20% - Accent1 16" xfId="38"/>
    <cellStyle name="20% - Accent1 2" xfId="39"/>
    <cellStyle name="20% - Accent1 2 2" xfId="40"/>
    <cellStyle name="20% - Accent1 2 2 2" xfId="41"/>
    <cellStyle name="20% - Accent1 2 3" xfId="42"/>
    <cellStyle name="20% - Accent1 3" xfId="43"/>
    <cellStyle name="20% - Accent1 3 2" xfId="44"/>
    <cellStyle name="20% - Accent1 3 2 2" xfId="45"/>
    <cellStyle name="20% - Accent1 3 3" xfId="46"/>
    <cellStyle name="20% - Accent1 4" xfId="47"/>
    <cellStyle name="20% - Accent1 4 2" xfId="48"/>
    <cellStyle name="20% - Accent1 4 2 2" xfId="49"/>
    <cellStyle name="20% - Accent1 4 3" xfId="50"/>
    <cellStyle name="20% - Accent1 5" xfId="51"/>
    <cellStyle name="20% - Accent1 5 2" xfId="52"/>
    <cellStyle name="20% - Accent1 5 2 2" xfId="53"/>
    <cellStyle name="20% - Accent1 5 3" xfId="54"/>
    <cellStyle name="20% - Accent1 6" xfId="55"/>
    <cellStyle name="20% - Accent1 6 2" xfId="56"/>
    <cellStyle name="20% - Accent1 6 2 2" xfId="57"/>
    <cellStyle name="20% - Accent1 6 3" xfId="58"/>
    <cellStyle name="20% - Accent1 7" xfId="59"/>
    <cellStyle name="20% - Accent1 7 2" xfId="60"/>
    <cellStyle name="20% - Accent1 7 2 2" xfId="61"/>
    <cellStyle name="20% - Accent1 7 3" xfId="62"/>
    <cellStyle name="20% - Accent1 8" xfId="63"/>
    <cellStyle name="20% - Accent1 8 2" xfId="64"/>
    <cellStyle name="20% - Accent1 8 2 2" xfId="65"/>
    <cellStyle name="20% - Accent1 8 3" xfId="66"/>
    <cellStyle name="20% - Accent1 9" xfId="67"/>
    <cellStyle name="20% - Accent1 9 2" xfId="68"/>
    <cellStyle name="20% - Accent1 9 2 2" xfId="69"/>
    <cellStyle name="20% - Accent1 9 3" xfId="70"/>
    <cellStyle name="20% - Accent2 10" xfId="71"/>
    <cellStyle name="20% - Accent2 10 2" xfId="72"/>
    <cellStyle name="20% - Accent2 10 2 2" xfId="73"/>
    <cellStyle name="20% - Accent2 10 3" xfId="74"/>
    <cellStyle name="20% - Accent2 11" xfId="75"/>
    <cellStyle name="20% - Accent2 11 2" xfId="76"/>
    <cellStyle name="20% - Accent2 11 2 2" xfId="77"/>
    <cellStyle name="20% - Accent2 11 3" xfId="78"/>
    <cellStyle name="20% - Accent2 12" xfId="79"/>
    <cellStyle name="20% - Accent2 12 2" xfId="80"/>
    <cellStyle name="20% - Accent2 12 2 2" xfId="81"/>
    <cellStyle name="20% - Accent2 12 3" xfId="82"/>
    <cellStyle name="20% - Accent2 13" xfId="83"/>
    <cellStyle name="20% - Accent2 13 2" xfId="84"/>
    <cellStyle name="20% - Accent2 13 2 2" xfId="85"/>
    <cellStyle name="20% - Accent2 13 3" xfId="86"/>
    <cellStyle name="20% - Accent2 14" xfId="87"/>
    <cellStyle name="20% - Accent2 14 2" xfId="88"/>
    <cellStyle name="20% - Accent2 14 2 2" xfId="89"/>
    <cellStyle name="20% - Accent2 14 3" xfId="90"/>
    <cellStyle name="20% - Accent2 15" xfId="91"/>
    <cellStyle name="20% - Accent2 15 2" xfId="92"/>
    <cellStyle name="20% - Accent2 15 2 2" xfId="93"/>
    <cellStyle name="20% - Accent2 15 3" xfId="94"/>
    <cellStyle name="20% - Accent2 16" xfId="95"/>
    <cellStyle name="20% - Accent2 2" xfId="96"/>
    <cellStyle name="20% - Accent2 2 2" xfId="97"/>
    <cellStyle name="20% - Accent2 2 2 2" xfId="98"/>
    <cellStyle name="20% - Accent2 2 3" xfId="99"/>
    <cellStyle name="20% - Accent2 3" xfId="100"/>
    <cellStyle name="20% - Accent2 3 2" xfId="101"/>
    <cellStyle name="20% - Accent2 3 2 2" xfId="102"/>
    <cellStyle name="20% - Accent2 3 3" xfId="103"/>
    <cellStyle name="20% - Accent2 4" xfId="104"/>
    <cellStyle name="20% - Accent2 4 2" xfId="105"/>
    <cellStyle name="20% - Accent2 4 2 2" xfId="106"/>
    <cellStyle name="20% - Accent2 4 3" xfId="107"/>
    <cellStyle name="20% - Accent2 5" xfId="108"/>
    <cellStyle name="20% - Accent2 5 2" xfId="109"/>
    <cellStyle name="20% - Accent2 5 2 2" xfId="110"/>
    <cellStyle name="20% - Accent2 5 3" xfId="111"/>
    <cellStyle name="20% - Accent2 6" xfId="112"/>
    <cellStyle name="20% - Accent2 6 2" xfId="113"/>
    <cellStyle name="20% - Accent2 6 2 2" xfId="114"/>
    <cellStyle name="20% - Accent2 6 3" xfId="115"/>
    <cellStyle name="20% - Accent2 7" xfId="116"/>
    <cellStyle name="20% - Accent2 7 2" xfId="117"/>
    <cellStyle name="20% - Accent2 7 2 2" xfId="118"/>
    <cellStyle name="20% - Accent2 7 3" xfId="119"/>
    <cellStyle name="20% - Accent2 8" xfId="120"/>
    <cellStyle name="20% - Accent2 8 2" xfId="121"/>
    <cellStyle name="20% - Accent2 8 2 2" xfId="122"/>
    <cellStyle name="20% - Accent2 8 3" xfId="123"/>
    <cellStyle name="20% - Accent2 9" xfId="124"/>
    <cellStyle name="20% - Accent2 9 2" xfId="125"/>
    <cellStyle name="20% - Accent2 9 2 2" xfId="126"/>
    <cellStyle name="20% - Accent2 9 3" xfId="127"/>
    <cellStyle name="20% - Accent3 10" xfId="128"/>
    <cellStyle name="20% - Accent3 10 2" xfId="129"/>
    <cellStyle name="20% - Accent3 10 2 2" xfId="130"/>
    <cellStyle name="20% - Accent3 10 3" xfId="131"/>
    <cellStyle name="20% - Accent3 11" xfId="132"/>
    <cellStyle name="20% - Accent3 11 2" xfId="133"/>
    <cellStyle name="20% - Accent3 11 2 2" xfId="134"/>
    <cellStyle name="20% - Accent3 11 3" xfId="135"/>
    <cellStyle name="20% - Accent3 12" xfId="136"/>
    <cellStyle name="20% - Accent3 12 2" xfId="137"/>
    <cellStyle name="20% - Accent3 12 2 2" xfId="138"/>
    <cellStyle name="20% - Accent3 12 3" xfId="139"/>
    <cellStyle name="20% - Accent3 13" xfId="140"/>
    <cellStyle name="20% - Accent3 13 2" xfId="141"/>
    <cellStyle name="20% - Accent3 13 2 2" xfId="142"/>
    <cellStyle name="20% - Accent3 13 3" xfId="143"/>
    <cellStyle name="20% - Accent3 14" xfId="144"/>
    <cellStyle name="20% - Accent3 14 2" xfId="145"/>
    <cellStyle name="20% - Accent3 14 2 2" xfId="146"/>
    <cellStyle name="20% - Accent3 14 3" xfId="147"/>
    <cellStyle name="20% - Accent3 15" xfId="148"/>
    <cellStyle name="20% - Accent3 15 2" xfId="149"/>
    <cellStyle name="20% - Accent3 15 2 2" xfId="150"/>
    <cellStyle name="20% - Accent3 15 3" xfId="151"/>
    <cellStyle name="20% - Accent3 16" xfId="152"/>
    <cellStyle name="20% - Accent3 2" xfId="153"/>
    <cellStyle name="20% - Accent3 2 2" xfId="154"/>
    <cellStyle name="20% - Accent3 2 2 2" xfId="155"/>
    <cellStyle name="20% - Accent3 2 3" xfId="156"/>
    <cellStyle name="20% - Accent3 3" xfId="157"/>
    <cellStyle name="20% - Accent3 3 2" xfId="158"/>
    <cellStyle name="20% - Accent3 3 2 2" xfId="159"/>
    <cellStyle name="20% - Accent3 3 3" xfId="160"/>
    <cellStyle name="20% - Accent3 4" xfId="161"/>
    <cellStyle name="20% - Accent3 4 2" xfId="162"/>
    <cellStyle name="20% - Accent3 4 2 2" xfId="163"/>
    <cellStyle name="20% - Accent3 4 3" xfId="164"/>
    <cellStyle name="20% - Accent3 5" xfId="165"/>
    <cellStyle name="20% - Accent3 5 2" xfId="166"/>
    <cellStyle name="20% - Accent3 5 2 2" xfId="167"/>
    <cellStyle name="20% - Accent3 5 3" xfId="168"/>
    <cellStyle name="20% - Accent3 6" xfId="169"/>
    <cellStyle name="20% - Accent3 6 2" xfId="170"/>
    <cellStyle name="20% - Accent3 6 2 2" xfId="171"/>
    <cellStyle name="20% - Accent3 6 3" xfId="172"/>
    <cellStyle name="20% - Accent3 7" xfId="173"/>
    <cellStyle name="20% - Accent3 7 2" xfId="174"/>
    <cellStyle name="20% - Accent3 7 2 2" xfId="175"/>
    <cellStyle name="20% - Accent3 7 3" xfId="176"/>
    <cellStyle name="20% - Accent3 8" xfId="177"/>
    <cellStyle name="20% - Accent3 8 2" xfId="178"/>
    <cellStyle name="20% - Accent3 8 2 2" xfId="179"/>
    <cellStyle name="20% - Accent3 8 3" xfId="180"/>
    <cellStyle name="20% - Accent3 9" xfId="181"/>
    <cellStyle name="20% - Accent3 9 2" xfId="182"/>
    <cellStyle name="20% - Accent3 9 2 2" xfId="183"/>
    <cellStyle name="20% - Accent3 9 3" xfId="184"/>
    <cellStyle name="20% - Accent4 10" xfId="185"/>
    <cellStyle name="20% - Accent4 10 2" xfId="186"/>
    <cellStyle name="20% - Accent4 10 2 2" xfId="187"/>
    <cellStyle name="20% - Accent4 10 3" xfId="188"/>
    <cellStyle name="20% - Accent4 11" xfId="189"/>
    <cellStyle name="20% - Accent4 11 2" xfId="190"/>
    <cellStyle name="20% - Accent4 11 2 2" xfId="191"/>
    <cellStyle name="20% - Accent4 11 3" xfId="192"/>
    <cellStyle name="20% - Accent4 12" xfId="193"/>
    <cellStyle name="20% - Accent4 12 2" xfId="194"/>
    <cellStyle name="20% - Accent4 12 2 2" xfId="195"/>
    <cellStyle name="20% - Accent4 12 3" xfId="196"/>
    <cellStyle name="20% - Accent4 13" xfId="197"/>
    <cellStyle name="20% - Accent4 13 2" xfId="198"/>
    <cellStyle name="20% - Accent4 13 2 2" xfId="199"/>
    <cellStyle name="20% - Accent4 13 3" xfId="200"/>
    <cellStyle name="20% - Accent4 14" xfId="201"/>
    <cellStyle name="20% - Accent4 14 2" xfId="202"/>
    <cellStyle name="20% - Accent4 14 2 2" xfId="203"/>
    <cellStyle name="20% - Accent4 14 3" xfId="204"/>
    <cellStyle name="20% - Accent4 15" xfId="205"/>
    <cellStyle name="20% - Accent4 15 2" xfId="206"/>
    <cellStyle name="20% - Accent4 15 2 2" xfId="207"/>
    <cellStyle name="20% - Accent4 15 3" xfId="208"/>
    <cellStyle name="20% - Accent4 16" xfId="209"/>
    <cellStyle name="20% - Accent4 2" xfId="210"/>
    <cellStyle name="20% - Accent4 2 2" xfId="211"/>
    <cellStyle name="20% - Accent4 2 2 2" xfId="212"/>
    <cellStyle name="20% - Accent4 2 3" xfId="213"/>
    <cellStyle name="20% - Accent4 3" xfId="214"/>
    <cellStyle name="20% - Accent4 3 2" xfId="215"/>
    <cellStyle name="20% - Accent4 3 2 2" xfId="216"/>
    <cellStyle name="20% - Accent4 3 3" xfId="217"/>
    <cellStyle name="20% - Accent4 4" xfId="218"/>
    <cellStyle name="20% - Accent4 4 2" xfId="219"/>
    <cellStyle name="20% - Accent4 4 2 2" xfId="220"/>
    <cellStyle name="20% - Accent4 4 3" xfId="221"/>
    <cellStyle name="20% - Accent4 5" xfId="222"/>
    <cellStyle name="20% - Accent4 5 2" xfId="223"/>
    <cellStyle name="20% - Accent4 5 2 2" xfId="224"/>
    <cellStyle name="20% - Accent4 5 3" xfId="225"/>
    <cellStyle name="20% - Accent4 6" xfId="226"/>
    <cellStyle name="20% - Accent4 6 2" xfId="227"/>
    <cellStyle name="20% - Accent4 6 2 2" xfId="228"/>
    <cellStyle name="20% - Accent4 6 3" xfId="229"/>
    <cellStyle name="20% - Accent4 7" xfId="230"/>
    <cellStyle name="20% - Accent4 7 2" xfId="231"/>
    <cellStyle name="20% - Accent4 7 2 2" xfId="232"/>
    <cellStyle name="20% - Accent4 7 3" xfId="233"/>
    <cellStyle name="20% - Accent4 8" xfId="234"/>
    <cellStyle name="20% - Accent4 8 2" xfId="235"/>
    <cellStyle name="20% - Accent4 8 2 2" xfId="236"/>
    <cellStyle name="20% - Accent4 8 3" xfId="237"/>
    <cellStyle name="20% - Accent4 9" xfId="238"/>
    <cellStyle name="20% - Accent4 9 2" xfId="239"/>
    <cellStyle name="20% - Accent4 9 2 2" xfId="240"/>
    <cellStyle name="20% - Accent4 9 3" xfId="241"/>
    <cellStyle name="20% - Accent5 10" xfId="242"/>
    <cellStyle name="20% - Accent5 10 2" xfId="243"/>
    <cellStyle name="20% - Accent5 10 2 2" xfId="244"/>
    <cellStyle name="20% - Accent5 10 3" xfId="245"/>
    <cellStyle name="20% - Accent5 11" xfId="246"/>
    <cellStyle name="20% - Accent5 11 2" xfId="247"/>
    <cellStyle name="20% - Accent5 11 2 2" xfId="248"/>
    <cellStyle name="20% - Accent5 11 3" xfId="249"/>
    <cellStyle name="20% - Accent5 12" xfId="250"/>
    <cellStyle name="20% - Accent5 12 2" xfId="251"/>
    <cellStyle name="20% - Accent5 12 2 2" xfId="252"/>
    <cellStyle name="20% - Accent5 12 3" xfId="253"/>
    <cellStyle name="20% - Accent5 13" xfId="254"/>
    <cellStyle name="20% - Accent5 13 2" xfId="255"/>
    <cellStyle name="20% - Accent5 13 2 2" xfId="256"/>
    <cellStyle name="20% - Accent5 13 3" xfId="257"/>
    <cellStyle name="20% - Accent5 14" xfId="258"/>
    <cellStyle name="20% - Accent5 14 2" xfId="259"/>
    <cellStyle name="20% - Accent5 14 2 2" xfId="260"/>
    <cellStyle name="20% - Accent5 14 3" xfId="261"/>
    <cellStyle name="20% - Accent5 15" xfId="262"/>
    <cellStyle name="20% - Accent5 15 2" xfId="263"/>
    <cellStyle name="20% - Accent5 15 2 2" xfId="264"/>
    <cellStyle name="20% - Accent5 15 3" xfId="265"/>
    <cellStyle name="20% - Accent5 16" xfId="266"/>
    <cellStyle name="20% - Accent5 2" xfId="267"/>
    <cellStyle name="20% - Accent5 2 2" xfId="268"/>
    <cellStyle name="20% - Accent5 2 2 2" xfId="269"/>
    <cellStyle name="20% - Accent5 2 3" xfId="270"/>
    <cellStyle name="20% - Accent5 3" xfId="271"/>
    <cellStyle name="20% - Accent5 3 2" xfId="272"/>
    <cellStyle name="20% - Accent5 3 2 2" xfId="273"/>
    <cellStyle name="20% - Accent5 3 3" xfId="274"/>
    <cellStyle name="20% - Accent5 4" xfId="275"/>
    <cellStyle name="20% - Accent5 4 2" xfId="276"/>
    <cellStyle name="20% - Accent5 4 2 2" xfId="277"/>
    <cellStyle name="20% - Accent5 4 3" xfId="278"/>
    <cellStyle name="20% - Accent5 5" xfId="279"/>
    <cellStyle name="20% - Accent5 5 2" xfId="280"/>
    <cellStyle name="20% - Accent5 5 2 2" xfId="281"/>
    <cellStyle name="20% - Accent5 5 3" xfId="282"/>
    <cellStyle name="20% - Accent5 6" xfId="283"/>
    <cellStyle name="20% - Accent5 6 2" xfId="284"/>
    <cellStyle name="20% - Accent5 6 2 2" xfId="285"/>
    <cellStyle name="20% - Accent5 6 3" xfId="286"/>
    <cellStyle name="20% - Accent5 7" xfId="287"/>
    <cellStyle name="20% - Accent5 7 2" xfId="288"/>
    <cellStyle name="20% - Accent5 7 2 2" xfId="289"/>
    <cellStyle name="20% - Accent5 7 3" xfId="290"/>
    <cellStyle name="20% - Accent5 8" xfId="291"/>
    <cellStyle name="20% - Accent5 8 2" xfId="292"/>
    <cellStyle name="20% - Accent5 8 2 2" xfId="293"/>
    <cellStyle name="20% - Accent5 8 3" xfId="294"/>
    <cellStyle name="20% - Accent5 9" xfId="295"/>
    <cellStyle name="20% - Accent5 9 2" xfId="296"/>
    <cellStyle name="20% - Accent5 9 2 2" xfId="297"/>
    <cellStyle name="20% - Accent5 9 3" xfId="298"/>
    <cellStyle name="20% - Accent6 10" xfId="299"/>
    <cellStyle name="20% - Accent6 10 2" xfId="300"/>
    <cellStyle name="20% - Accent6 10 2 2" xfId="301"/>
    <cellStyle name="20% - Accent6 10 3" xfId="302"/>
    <cellStyle name="20% - Accent6 11" xfId="303"/>
    <cellStyle name="20% - Accent6 11 2" xfId="304"/>
    <cellStyle name="20% - Accent6 11 2 2" xfId="305"/>
    <cellStyle name="20% - Accent6 11 3" xfId="306"/>
    <cellStyle name="20% - Accent6 12" xfId="307"/>
    <cellStyle name="20% - Accent6 12 2" xfId="308"/>
    <cellStyle name="20% - Accent6 12 2 2" xfId="309"/>
    <cellStyle name="20% - Accent6 12 3" xfId="310"/>
    <cellStyle name="20% - Accent6 13" xfId="311"/>
    <cellStyle name="20% - Accent6 13 2" xfId="312"/>
    <cellStyle name="20% - Accent6 13 2 2" xfId="313"/>
    <cellStyle name="20% - Accent6 13 3" xfId="314"/>
    <cellStyle name="20% - Accent6 14" xfId="315"/>
    <cellStyle name="20% - Accent6 14 2" xfId="316"/>
    <cellStyle name="20% - Accent6 14 2 2" xfId="317"/>
    <cellStyle name="20% - Accent6 14 3" xfId="318"/>
    <cellStyle name="20% - Accent6 15" xfId="319"/>
    <cellStyle name="20% - Accent6 15 2" xfId="320"/>
    <cellStyle name="20% - Accent6 15 2 2" xfId="321"/>
    <cellStyle name="20% - Accent6 15 3" xfId="322"/>
    <cellStyle name="20% - Accent6 16" xfId="323"/>
    <cellStyle name="20% - Accent6 2" xfId="324"/>
    <cellStyle name="20% - Accent6 2 2" xfId="325"/>
    <cellStyle name="20% - Accent6 2 2 2" xfId="326"/>
    <cellStyle name="20% - Accent6 2 3" xfId="327"/>
    <cellStyle name="20% - Accent6 3" xfId="328"/>
    <cellStyle name="20% - Accent6 3 2" xfId="329"/>
    <cellStyle name="20% - Accent6 3 2 2" xfId="330"/>
    <cellStyle name="20% - Accent6 3 3" xfId="331"/>
    <cellStyle name="20% - Accent6 4" xfId="332"/>
    <cellStyle name="20% - Accent6 4 2" xfId="333"/>
    <cellStyle name="20% - Accent6 4 2 2" xfId="334"/>
    <cellStyle name="20% - Accent6 4 3" xfId="335"/>
    <cellStyle name="20% - Accent6 5" xfId="336"/>
    <cellStyle name="20% - Accent6 5 2" xfId="337"/>
    <cellStyle name="20% - Accent6 5 2 2" xfId="338"/>
    <cellStyle name="20% - Accent6 5 3" xfId="339"/>
    <cellStyle name="20% - Accent6 6" xfId="340"/>
    <cellStyle name="20% - Accent6 6 2" xfId="341"/>
    <cellStyle name="20% - Accent6 6 2 2" xfId="342"/>
    <cellStyle name="20% - Accent6 6 3" xfId="343"/>
    <cellStyle name="20% - Accent6 7" xfId="344"/>
    <cellStyle name="20% - Accent6 7 2" xfId="345"/>
    <cellStyle name="20% - Accent6 7 2 2" xfId="346"/>
    <cellStyle name="20% - Accent6 7 3" xfId="347"/>
    <cellStyle name="20% - Accent6 8" xfId="348"/>
    <cellStyle name="20% - Accent6 8 2" xfId="349"/>
    <cellStyle name="20% - Accent6 8 2 2" xfId="350"/>
    <cellStyle name="20% - Accent6 8 3" xfId="351"/>
    <cellStyle name="20% - Accent6 9" xfId="352"/>
    <cellStyle name="20% - Accent6 9 2" xfId="353"/>
    <cellStyle name="20% - Accent6 9 2 2" xfId="354"/>
    <cellStyle name="20% - Accent6 9 3" xfId="355"/>
    <cellStyle name="40% - Accent1 10" xfId="356"/>
    <cellStyle name="40% - Accent1 10 2" xfId="357"/>
    <cellStyle name="40% - Accent1 10 2 2" xfId="358"/>
    <cellStyle name="40% - Accent1 10 3" xfId="359"/>
    <cellStyle name="40% - Accent1 11" xfId="360"/>
    <cellStyle name="40% - Accent1 11 2" xfId="361"/>
    <cellStyle name="40% - Accent1 11 2 2" xfId="362"/>
    <cellStyle name="40% - Accent1 11 3" xfId="363"/>
    <cellStyle name="40% - Accent1 12" xfId="364"/>
    <cellStyle name="40% - Accent1 12 2" xfId="365"/>
    <cellStyle name="40% - Accent1 12 2 2" xfId="366"/>
    <cellStyle name="40% - Accent1 12 3" xfId="367"/>
    <cellStyle name="40% - Accent1 13" xfId="368"/>
    <cellStyle name="40% - Accent1 13 2" xfId="369"/>
    <cellStyle name="40% - Accent1 13 2 2" xfId="370"/>
    <cellStyle name="40% - Accent1 13 3" xfId="371"/>
    <cellStyle name="40% - Accent1 14" xfId="372"/>
    <cellStyle name="40% - Accent1 14 2" xfId="373"/>
    <cellStyle name="40% - Accent1 14 2 2" xfId="374"/>
    <cellStyle name="40% - Accent1 14 3" xfId="375"/>
    <cellStyle name="40% - Accent1 15" xfId="376"/>
    <cellStyle name="40% - Accent1 15 2" xfId="377"/>
    <cellStyle name="40% - Accent1 15 2 2" xfId="378"/>
    <cellStyle name="40% - Accent1 15 3" xfId="379"/>
    <cellStyle name="40% - Accent1 16" xfId="380"/>
    <cellStyle name="40% - Accent1 2" xfId="381"/>
    <cellStyle name="40% - Accent1 2 2" xfId="382"/>
    <cellStyle name="40% - Accent1 2 2 2" xfId="383"/>
    <cellStyle name="40% - Accent1 2 3" xfId="384"/>
    <cellStyle name="40% - Accent1 3" xfId="385"/>
    <cellStyle name="40% - Accent1 3 2" xfId="386"/>
    <cellStyle name="40% - Accent1 3 2 2" xfId="387"/>
    <cellStyle name="40% - Accent1 3 3" xfId="388"/>
    <cellStyle name="40% - Accent1 4" xfId="389"/>
    <cellStyle name="40% - Accent1 4 2" xfId="390"/>
    <cellStyle name="40% - Accent1 4 2 2" xfId="391"/>
    <cellStyle name="40% - Accent1 4 3" xfId="392"/>
    <cellStyle name="40% - Accent1 5" xfId="393"/>
    <cellStyle name="40% - Accent1 5 2" xfId="394"/>
    <cellStyle name="40% - Accent1 5 2 2" xfId="395"/>
    <cellStyle name="40% - Accent1 5 3" xfId="396"/>
    <cellStyle name="40% - Accent1 6" xfId="397"/>
    <cellStyle name="40% - Accent1 6 2" xfId="398"/>
    <cellStyle name="40% - Accent1 6 2 2" xfId="399"/>
    <cellStyle name="40% - Accent1 6 3" xfId="400"/>
    <cellStyle name="40% - Accent1 7" xfId="401"/>
    <cellStyle name="40% - Accent1 7 2" xfId="402"/>
    <cellStyle name="40% - Accent1 7 2 2" xfId="403"/>
    <cellStyle name="40% - Accent1 7 3" xfId="404"/>
    <cellStyle name="40% - Accent1 8" xfId="405"/>
    <cellStyle name="40% - Accent1 8 2" xfId="406"/>
    <cellStyle name="40% - Accent1 8 2 2" xfId="407"/>
    <cellStyle name="40% - Accent1 8 3" xfId="408"/>
    <cellStyle name="40% - Accent1 9" xfId="409"/>
    <cellStyle name="40% - Accent1 9 2" xfId="410"/>
    <cellStyle name="40% - Accent1 9 2 2" xfId="411"/>
    <cellStyle name="40% - Accent1 9 3" xfId="412"/>
    <cellStyle name="40% - Accent2 10" xfId="413"/>
    <cellStyle name="40% - Accent2 10 2" xfId="414"/>
    <cellStyle name="40% - Accent2 10 2 2" xfId="415"/>
    <cellStyle name="40% - Accent2 10 3" xfId="416"/>
    <cellStyle name="40% - Accent2 11" xfId="417"/>
    <cellStyle name="40% - Accent2 11 2" xfId="418"/>
    <cellStyle name="40% - Accent2 11 2 2" xfId="419"/>
    <cellStyle name="40% - Accent2 11 3" xfId="420"/>
    <cellStyle name="40% - Accent2 12" xfId="421"/>
    <cellStyle name="40% - Accent2 12 2" xfId="422"/>
    <cellStyle name="40% - Accent2 12 2 2" xfId="423"/>
    <cellStyle name="40% - Accent2 12 3" xfId="424"/>
    <cellStyle name="40% - Accent2 13" xfId="425"/>
    <cellStyle name="40% - Accent2 13 2" xfId="426"/>
    <cellStyle name="40% - Accent2 13 2 2" xfId="427"/>
    <cellStyle name="40% - Accent2 13 3" xfId="428"/>
    <cellStyle name="40% - Accent2 14" xfId="429"/>
    <cellStyle name="40% - Accent2 14 2" xfId="430"/>
    <cellStyle name="40% - Accent2 14 2 2" xfId="431"/>
    <cellStyle name="40% - Accent2 14 3" xfId="432"/>
    <cellStyle name="40% - Accent2 15" xfId="433"/>
    <cellStyle name="40% - Accent2 15 2" xfId="434"/>
    <cellStyle name="40% - Accent2 15 2 2" xfId="435"/>
    <cellStyle name="40% - Accent2 15 3" xfId="436"/>
    <cellStyle name="40% - Accent2 16" xfId="437"/>
    <cellStyle name="40% - Accent2 2" xfId="438"/>
    <cellStyle name="40% - Accent2 2 2" xfId="439"/>
    <cellStyle name="40% - Accent2 2 2 2" xfId="440"/>
    <cellStyle name="40% - Accent2 2 3" xfId="441"/>
    <cellStyle name="40% - Accent2 3" xfId="442"/>
    <cellStyle name="40% - Accent2 3 2" xfId="443"/>
    <cellStyle name="40% - Accent2 3 2 2" xfId="444"/>
    <cellStyle name="40% - Accent2 3 3" xfId="445"/>
    <cellStyle name="40% - Accent2 4" xfId="446"/>
    <cellStyle name="40% - Accent2 4 2" xfId="447"/>
    <cellStyle name="40% - Accent2 4 2 2" xfId="448"/>
    <cellStyle name="40% - Accent2 4 3" xfId="449"/>
    <cellStyle name="40% - Accent2 5" xfId="450"/>
    <cellStyle name="40% - Accent2 5 2" xfId="451"/>
    <cellStyle name="40% - Accent2 5 2 2" xfId="452"/>
    <cellStyle name="40% - Accent2 5 3" xfId="453"/>
    <cellStyle name="40% - Accent2 6" xfId="454"/>
    <cellStyle name="40% - Accent2 6 2" xfId="455"/>
    <cellStyle name="40% - Accent2 6 2 2" xfId="456"/>
    <cellStyle name="40% - Accent2 6 3" xfId="457"/>
    <cellStyle name="40% - Accent2 7" xfId="458"/>
    <cellStyle name="40% - Accent2 7 2" xfId="459"/>
    <cellStyle name="40% - Accent2 7 2 2" xfId="460"/>
    <cellStyle name="40% - Accent2 7 3" xfId="461"/>
    <cellStyle name="40% - Accent2 8" xfId="462"/>
    <cellStyle name="40% - Accent2 8 2" xfId="463"/>
    <cellStyle name="40% - Accent2 8 2 2" xfId="464"/>
    <cellStyle name="40% - Accent2 8 3" xfId="465"/>
    <cellStyle name="40% - Accent2 9" xfId="466"/>
    <cellStyle name="40% - Accent2 9 2" xfId="467"/>
    <cellStyle name="40% - Accent2 9 2 2" xfId="468"/>
    <cellStyle name="40% - Accent2 9 3" xfId="469"/>
    <cellStyle name="40% - Accent3 10" xfId="470"/>
    <cellStyle name="40% - Accent3 10 2" xfId="471"/>
    <cellStyle name="40% - Accent3 10 2 2" xfId="472"/>
    <cellStyle name="40% - Accent3 10 3" xfId="473"/>
    <cellStyle name="40% - Accent3 11" xfId="474"/>
    <cellStyle name="40% - Accent3 11 2" xfId="475"/>
    <cellStyle name="40% - Accent3 11 2 2" xfId="476"/>
    <cellStyle name="40% - Accent3 11 3" xfId="477"/>
    <cellStyle name="40% - Accent3 12" xfId="478"/>
    <cellStyle name="40% - Accent3 12 2" xfId="479"/>
    <cellStyle name="40% - Accent3 12 2 2" xfId="480"/>
    <cellStyle name="40% - Accent3 12 3" xfId="481"/>
    <cellStyle name="40% - Accent3 13" xfId="482"/>
    <cellStyle name="40% - Accent3 13 2" xfId="483"/>
    <cellStyle name="40% - Accent3 13 2 2" xfId="484"/>
    <cellStyle name="40% - Accent3 13 3" xfId="485"/>
    <cellStyle name="40% - Accent3 14" xfId="486"/>
    <cellStyle name="40% - Accent3 14 2" xfId="487"/>
    <cellStyle name="40% - Accent3 14 2 2" xfId="488"/>
    <cellStyle name="40% - Accent3 14 3" xfId="489"/>
    <cellStyle name="40% - Accent3 15" xfId="490"/>
    <cellStyle name="40% - Accent3 15 2" xfId="491"/>
    <cellStyle name="40% - Accent3 15 2 2" xfId="492"/>
    <cellStyle name="40% - Accent3 15 3" xfId="493"/>
    <cellStyle name="40% - Accent3 16" xfId="494"/>
    <cellStyle name="40% - Accent3 2" xfId="495"/>
    <cellStyle name="40% - Accent3 2 2" xfId="496"/>
    <cellStyle name="40% - Accent3 2 2 2" xfId="497"/>
    <cellStyle name="40% - Accent3 2 3" xfId="498"/>
    <cellStyle name="40% - Accent3 3" xfId="499"/>
    <cellStyle name="40% - Accent3 3 2" xfId="500"/>
    <cellStyle name="40% - Accent3 3 2 2" xfId="501"/>
    <cellStyle name="40% - Accent3 3 3" xfId="502"/>
    <cellStyle name="40% - Accent3 4" xfId="503"/>
    <cellStyle name="40% - Accent3 4 2" xfId="504"/>
    <cellStyle name="40% - Accent3 4 2 2" xfId="505"/>
    <cellStyle name="40% - Accent3 4 3" xfId="506"/>
    <cellStyle name="40% - Accent3 5" xfId="507"/>
    <cellStyle name="40% - Accent3 5 2" xfId="508"/>
    <cellStyle name="40% - Accent3 5 2 2" xfId="509"/>
    <cellStyle name="40% - Accent3 5 3" xfId="510"/>
    <cellStyle name="40% - Accent3 6" xfId="511"/>
    <cellStyle name="40% - Accent3 6 2" xfId="512"/>
    <cellStyle name="40% - Accent3 6 2 2" xfId="513"/>
    <cellStyle name="40% - Accent3 6 3" xfId="514"/>
    <cellStyle name="40% - Accent3 7" xfId="515"/>
    <cellStyle name="40% - Accent3 7 2" xfId="516"/>
    <cellStyle name="40% - Accent3 7 2 2" xfId="517"/>
    <cellStyle name="40% - Accent3 7 3" xfId="518"/>
    <cellStyle name="40% - Accent3 8" xfId="519"/>
    <cellStyle name="40% - Accent3 8 2" xfId="520"/>
    <cellStyle name="40% - Accent3 8 2 2" xfId="521"/>
    <cellStyle name="40% - Accent3 8 3" xfId="522"/>
    <cellStyle name="40% - Accent3 9" xfId="523"/>
    <cellStyle name="40% - Accent3 9 2" xfId="524"/>
    <cellStyle name="40% - Accent3 9 2 2" xfId="525"/>
    <cellStyle name="40% - Accent3 9 3" xfId="526"/>
    <cellStyle name="40% - Accent4 10" xfId="527"/>
    <cellStyle name="40% - Accent4 10 2" xfId="528"/>
    <cellStyle name="40% - Accent4 10 2 2" xfId="529"/>
    <cellStyle name="40% - Accent4 10 3" xfId="530"/>
    <cellStyle name="40% - Accent4 11" xfId="531"/>
    <cellStyle name="40% - Accent4 11 2" xfId="532"/>
    <cellStyle name="40% - Accent4 11 2 2" xfId="533"/>
    <cellStyle name="40% - Accent4 11 3" xfId="534"/>
    <cellStyle name="40% - Accent4 12" xfId="535"/>
    <cellStyle name="40% - Accent4 12 2" xfId="536"/>
    <cellStyle name="40% - Accent4 12 2 2" xfId="537"/>
    <cellStyle name="40% - Accent4 12 3" xfId="538"/>
    <cellStyle name="40% - Accent4 13" xfId="539"/>
    <cellStyle name="40% - Accent4 13 2" xfId="540"/>
    <cellStyle name="40% - Accent4 13 2 2" xfId="541"/>
    <cellStyle name="40% - Accent4 13 3" xfId="542"/>
    <cellStyle name="40% - Accent4 14" xfId="543"/>
    <cellStyle name="40% - Accent4 14 2" xfId="544"/>
    <cellStyle name="40% - Accent4 14 2 2" xfId="545"/>
    <cellStyle name="40% - Accent4 14 3" xfId="546"/>
    <cellStyle name="40% - Accent4 15" xfId="547"/>
    <cellStyle name="40% - Accent4 15 2" xfId="548"/>
    <cellStyle name="40% - Accent4 15 2 2" xfId="549"/>
    <cellStyle name="40% - Accent4 15 3" xfId="550"/>
    <cellStyle name="40% - Accent4 16" xfId="551"/>
    <cellStyle name="40% - Accent4 2" xfId="552"/>
    <cellStyle name="40% - Accent4 2 2" xfId="553"/>
    <cellStyle name="40% - Accent4 2 2 2" xfId="554"/>
    <cellStyle name="40% - Accent4 2 3" xfId="555"/>
    <cellStyle name="40% - Accent4 3" xfId="556"/>
    <cellStyle name="40% - Accent4 3 2" xfId="557"/>
    <cellStyle name="40% - Accent4 3 2 2" xfId="558"/>
    <cellStyle name="40% - Accent4 3 3" xfId="559"/>
    <cellStyle name="40% - Accent4 4" xfId="560"/>
    <cellStyle name="40% - Accent4 4 2" xfId="561"/>
    <cellStyle name="40% - Accent4 4 2 2" xfId="562"/>
    <cellStyle name="40% - Accent4 4 3" xfId="563"/>
    <cellStyle name="40% - Accent4 5" xfId="564"/>
    <cellStyle name="40% - Accent4 5 2" xfId="565"/>
    <cellStyle name="40% - Accent4 5 2 2" xfId="566"/>
    <cellStyle name="40% - Accent4 5 3" xfId="567"/>
    <cellStyle name="40% - Accent4 6" xfId="568"/>
    <cellStyle name="40% - Accent4 6 2" xfId="569"/>
    <cellStyle name="40% - Accent4 6 2 2" xfId="570"/>
    <cellStyle name="40% - Accent4 6 3" xfId="571"/>
    <cellStyle name="40% - Accent4 7" xfId="572"/>
    <cellStyle name="40% - Accent4 7 2" xfId="573"/>
    <cellStyle name="40% - Accent4 7 2 2" xfId="574"/>
    <cellStyle name="40% - Accent4 7 3" xfId="575"/>
    <cellStyle name="40% - Accent4 8" xfId="576"/>
    <cellStyle name="40% - Accent4 8 2" xfId="577"/>
    <cellStyle name="40% - Accent4 8 2 2" xfId="578"/>
    <cellStyle name="40% - Accent4 8 3" xfId="579"/>
    <cellStyle name="40% - Accent4 9" xfId="580"/>
    <cellStyle name="40% - Accent4 9 2" xfId="581"/>
    <cellStyle name="40% - Accent4 9 2 2" xfId="582"/>
    <cellStyle name="40% - Accent4 9 3" xfId="583"/>
    <cellStyle name="40% - Accent5 10" xfId="584"/>
    <cellStyle name="40% - Accent5 10 2" xfId="585"/>
    <cellStyle name="40% - Accent5 10 2 2" xfId="586"/>
    <cellStyle name="40% - Accent5 10 3" xfId="587"/>
    <cellStyle name="40% - Accent5 11" xfId="588"/>
    <cellStyle name="40% - Accent5 11 2" xfId="589"/>
    <cellStyle name="40% - Accent5 11 2 2" xfId="590"/>
    <cellStyle name="40% - Accent5 11 3" xfId="591"/>
    <cellStyle name="40% - Accent5 12" xfId="592"/>
    <cellStyle name="40% - Accent5 12 2" xfId="593"/>
    <cellStyle name="40% - Accent5 12 2 2" xfId="594"/>
    <cellStyle name="40% - Accent5 12 3" xfId="595"/>
    <cellStyle name="40% - Accent5 13" xfId="596"/>
    <cellStyle name="40% - Accent5 13 2" xfId="597"/>
    <cellStyle name="40% - Accent5 13 2 2" xfId="598"/>
    <cellStyle name="40% - Accent5 13 3" xfId="599"/>
    <cellStyle name="40% - Accent5 14" xfId="600"/>
    <cellStyle name="40% - Accent5 14 2" xfId="601"/>
    <cellStyle name="40% - Accent5 14 2 2" xfId="602"/>
    <cellStyle name="40% - Accent5 14 3" xfId="603"/>
    <cellStyle name="40% - Accent5 15" xfId="604"/>
    <cellStyle name="40% - Accent5 15 2" xfId="605"/>
    <cellStyle name="40% - Accent5 15 2 2" xfId="606"/>
    <cellStyle name="40% - Accent5 15 3" xfId="607"/>
    <cellStyle name="40% - Accent5 16" xfId="608"/>
    <cellStyle name="40% - Accent5 2" xfId="609"/>
    <cellStyle name="40% - Accent5 2 2" xfId="610"/>
    <cellStyle name="40% - Accent5 2 2 2" xfId="611"/>
    <cellStyle name="40% - Accent5 2 3" xfId="612"/>
    <cellStyle name="40% - Accent5 3" xfId="613"/>
    <cellStyle name="40% - Accent5 3 2" xfId="614"/>
    <cellStyle name="40% - Accent5 3 2 2" xfId="615"/>
    <cellStyle name="40% - Accent5 3 3" xfId="616"/>
    <cellStyle name="40% - Accent5 4" xfId="617"/>
    <cellStyle name="40% - Accent5 4 2" xfId="618"/>
    <cellStyle name="40% - Accent5 4 2 2" xfId="619"/>
    <cellStyle name="40% - Accent5 4 3" xfId="620"/>
    <cellStyle name="40% - Accent5 5" xfId="621"/>
    <cellStyle name="40% - Accent5 5 2" xfId="622"/>
    <cellStyle name="40% - Accent5 5 2 2" xfId="623"/>
    <cellStyle name="40% - Accent5 5 3" xfId="624"/>
    <cellStyle name="40% - Accent5 6" xfId="625"/>
    <cellStyle name="40% - Accent5 6 2" xfId="626"/>
    <cellStyle name="40% - Accent5 6 2 2" xfId="627"/>
    <cellStyle name="40% - Accent5 6 3" xfId="628"/>
    <cellStyle name="40% - Accent5 7" xfId="629"/>
    <cellStyle name="40% - Accent5 7 2" xfId="630"/>
    <cellStyle name="40% - Accent5 7 2 2" xfId="631"/>
    <cellStyle name="40% - Accent5 7 3" xfId="632"/>
    <cellStyle name="40% - Accent5 8" xfId="633"/>
    <cellStyle name="40% - Accent5 8 2" xfId="634"/>
    <cellStyle name="40% - Accent5 8 2 2" xfId="635"/>
    <cellStyle name="40% - Accent5 8 3" xfId="636"/>
    <cellStyle name="40% - Accent5 9" xfId="637"/>
    <cellStyle name="40% - Accent5 9 2" xfId="638"/>
    <cellStyle name="40% - Accent5 9 2 2" xfId="639"/>
    <cellStyle name="40% - Accent5 9 3" xfId="640"/>
    <cellStyle name="40% - Accent6 10" xfId="641"/>
    <cellStyle name="40% - Accent6 10 2" xfId="642"/>
    <cellStyle name="40% - Accent6 10 2 2" xfId="643"/>
    <cellStyle name="40% - Accent6 10 3" xfId="644"/>
    <cellStyle name="40% - Accent6 11" xfId="645"/>
    <cellStyle name="40% - Accent6 11 2" xfId="646"/>
    <cellStyle name="40% - Accent6 11 2 2" xfId="647"/>
    <cellStyle name="40% - Accent6 11 3" xfId="648"/>
    <cellStyle name="40% - Accent6 12" xfId="649"/>
    <cellStyle name="40% - Accent6 12 2" xfId="650"/>
    <cellStyle name="40% - Accent6 12 2 2" xfId="651"/>
    <cellStyle name="40% - Accent6 12 3" xfId="652"/>
    <cellStyle name="40% - Accent6 13" xfId="653"/>
    <cellStyle name="40% - Accent6 13 2" xfId="654"/>
    <cellStyle name="40% - Accent6 13 2 2" xfId="655"/>
    <cellStyle name="40% - Accent6 13 3" xfId="656"/>
    <cellStyle name="40% - Accent6 14" xfId="657"/>
    <cellStyle name="40% - Accent6 14 2" xfId="658"/>
    <cellStyle name="40% - Accent6 14 2 2" xfId="659"/>
    <cellStyle name="40% - Accent6 14 3" xfId="660"/>
    <cellStyle name="40% - Accent6 15" xfId="661"/>
    <cellStyle name="40% - Accent6 15 2" xfId="662"/>
    <cellStyle name="40% - Accent6 15 2 2" xfId="663"/>
    <cellStyle name="40% - Accent6 15 3" xfId="664"/>
    <cellStyle name="40% - Accent6 16" xfId="665"/>
    <cellStyle name="40% - Accent6 2" xfId="666"/>
    <cellStyle name="40% - Accent6 2 2" xfId="667"/>
    <cellStyle name="40% - Accent6 2 2 2" xfId="668"/>
    <cellStyle name="40% - Accent6 2 3" xfId="669"/>
    <cellStyle name="40% - Accent6 3" xfId="670"/>
    <cellStyle name="40% - Accent6 3 2" xfId="671"/>
    <cellStyle name="40% - Accent6 3 2 2" xfId="672"/>
    <cellStyle name="40% - Accent6 3 3" xfId="673"/>
    <cellStyle name="40% - Accent6 4" xfId="674"/>
    <cellStyle name="40% - Accent6 4 2" xfId="675"/>
    <cellStyle name="40% - Accent6 4 2 2" xfId="676"/>
    <cellStyle name="40% - Accent6 4 3" xfId="677"/>
    <cellStyle name="40% - Accent6 5" xfId="678"/>
    <cellStyle name="40% - Accent6 5 2" xfId="679"/>
    <cellStyle name="40% - Accent6 5 2 2" xfId="680"/>
    <cellStyle name="40% - Accent6 5 3" xfId="681"/>
    <cellStyle name="40% - Accent6 6" xfId="682"/>
    <cellStyle name="40% - Accent6 6 2" xfId="683"/>
    <cellStyle name="40% - Accent6 6 2 2" xfId="684"/>
    <cellStyle name="40% - Accent6 6 3" xfId="685"/>
    <cellStyle name="40% - Accent6 7" xfId="686"/>
    <cellStyle name="40% - Accent6 7 2" xfId="687"/>
    <cellStyle name="40% - Accent6 7 2 2" xfId="688"/>
    <cellStyle name="40% - Accent6 7 3" xfId="689"/>
    <cellStyle name="40% - Accent6 8" xfId="690"/>
    <cellStyle name="40% - Accent6 8 2" xfId="691"/>
    <cellStyle name="40% - Accent6 8 2 2" xfId="692"/>
    <cellStyle name="40% - Accent6 8 3" xfId="693"/>
    <cellStyle name="40% - Accent6 9" xfId="694"/>
    <cellStyle name="40% - Accent6 9 2" xfId="695"/>
    <cellStyle name="40% - Accent6 9 2 2" xfId="696"/>
    <cellStyle name="40% - Accent6 9 3" xfId="697"/>
    <cellStyle name="60% - Accent1 10" xfId="698"/>
    <cellStyle name="60% - Accent1 11" xfId="699"/>
    <cellStyle name="60% - Accent1 12" xfId="700"/>
    <cellStyle name="60% - Accent1 13" xfId="701"/>
    <cellStyle name="60% - Accent1 14" xfId="702"/>
    <cellStyle name="60% - Accent1 15" xfId="703"/>
    <cellStyle name="60% - Accent1 16" xfId="704"/>
    <cellStyle name="60% - Accent1 2" xfId="705"/>
    <cellStyle name="60% - Accent1 3" xfId="706"/>
    <cellStyle name="60% - Accent1 4" xfId="707"/>
    <cellStyle name="60% - Accent1 5" xfId="708"/>
    <cellStyle name="60% - Accent1 6" xfId="709"/>
    <cellStyle name="60% - Accent1 7" xfId="710"/>
    <cellStyle name="60% - Accent1 8" xfId="711"/>
    <cellStyle name="60% - Accent1 9" xfId="712"/>
    <cellStyle name="60% - Accent2 10" xfId="713"/>
    <cellStyle name="60% - Accent2 11" xfId="714"/>
    <cellStyle name="60% - Accent2 12" xfId="715"/>
    <cellStyle name="60% - Accent2 13" xfId="716"/>
    <cellStyle name="60% - Accent2 14" xfId="717"/>
    <cellStyle name="60% - Accent2 15" xfId="718"/>
    <cellStyle name="60% - Accent2 16" xfId="719"/>
    <cellStyle name="60% - Accent2 2" xfId="720"/>
    <cellStyle name="60% - Accent2 3" xfId="721"/>
    <cellStyle name="60% - Accent2 4" xfId="722"/>
    <cellStyle name="60% - Accent2 5" xfId="723"/>
    <cellStyle name="60% - Accent2 6" xfId="724"/>
    <cellStyle name="60% - Accent2 7" xfId="725"/>
    <cellStyle name="60% - Accent2 8" xfId="726"/>
    <cellStyle name="60% - Accent2 9" xfId="727"/>
    <cellStyle name="60% - Accent3 10" xfId="728"/>
    <cellStyle name="60% - Accent3 11" xfId="729"/>
    <cellStyle name="60% - Accent3 12" xfId="730"/>
    <cellStyle name="60% - Accent3 13" xfId="731"/>
    <cellStyle name="60% - Accent3 14" xfId="732"/>
    <cellStyle name="60% - Accent3 15" xfId="733"/>
    <cellStyle name="60% - Accent3 16" xfId="734"/>
    <cellStyle name="60% - Accent3 2" xfId="735"/>
    <cellStyle name="60% - Accent3 3" xfId="736"/>
    <cellStyle name="60% - Accent3 4" xfId="737"/>
    <cellStyle name="60% - Accent3 5" xfId="738"/>
    <cellStyle name="60% - Accent3 6" xfId="739"/>
    <cellStyle name="60% - Accent3 7" xfId="740"/>
    <cellStyle name="60% - Accent3 8" xfId="741"/>
    <cellStyle name="60% - Accent3 9" xfId="742"/>
    <cellStyle name="60% - Accent4 10" xfId="743"/>
    <cellStyle name="60% - Accent4 11" xfId="744"/>
    <cellStyle name="60% - Accent4 12" xfId="745"/>
    <cellStyle name="60% - Accent4 13" xfId="746"/>
    <cellStyle name="60% - Accent4 14" xfId="747"/>
    <cellStyle name="60% - Accent4 15" xfId="748"/>
    <cellStyle name="60% - Accent4 16" xfId="749"/>
    <cellStyle name="60% - Accent4 2" xfId="750"/>
    <cellStyle name="60% - Accent4 3" xfId="751"/>
    <cellStyle name="60% - Accent4 4" xfId="752"/>
    <cellStyle name="60% - Accent4 5" xfId="753"/>
    <cellStyle name="60% - Accent4 6" xfId="754"/>
    <cellStyle name="60% - Accent4 7" xfId="755"/>
    <cellStyle name="60% - Accent4 8" xfId="756"/>
    <cellStyle name="60% - Accent4 9" xfId="757"/>
    <cellStyle name="60% - Accent5 10" xfId="758"/>
    <cellStyle name="60% - Accent5 11" xfId="759"/>
    <cellStyle name="60% - Accent5 12" xfId="760"/>
    <cellStyle name="60% - Accent5 13" xfId="761"/>
    <cellStyle name="60% - Accent5 14" xfId="762"/>
    <cellStyle name="60% - Accent5 15" xfId="763"/>
    <cellStyle name="60% - Accent5 16" xfId="764"/>
    <cellStyle name="60% - Accent5 2" xfId="765"/>
    <cellStyle name="60% - Accent5 3" xfId="766"/>
    <cellStyle name="60% - Accent5 4" xfId="767"/>
    <cellStyle name="60% - Accent5 5" xfId="768"/>
    <cellStyle name="60% - Accent5 6" xfId="769"/>
    <cellStyle name="60% - Accent5 7" xfId="770"/>
    <cellStyle name="60% - Accent5 8" xfId="771"/>
    <cellStyle name="60% - Accent5 9" xfId="772"/>
    <cellStyle name="60% - Accent6 10" xfId="773"/>
    <cellStyle name="60% - Accent6 11" xfId="774"/>
    <cellStyle name="60% - Accent6 12" xfId="775"/>
    <cellStyle name="60% - Accent6 13" xfId="776"/>
    <cellStyle name="60% - Accent6 14" xfId="777"/>
    <cellStyle name="60% - Accent6 15" xfId="778"/>
    <cellStyle name="60% - Accent6 16" xfId="779"/>
    <cellStyle name="60% - Accent6 2" xfId="780"/>
    <cellStyle name="60% - Accent6 3" xfId="781"/>
    <cellStyle name="60% - Accent6 4" xfId="782"/>
    <cellStyle name="60% - Accent6 5" xfId="783"/>
    <cellStyle name="60% - Accent6 6" xfId="784"/>
    <cellStyle name="60% - Accent6 7" xfId="785"/>
    <cellStyle name="60% - Accent6 8" xfId="786"/>
    <cellStyle name="60% - Accent6 9" xfId="787"/>
    <cellStyle name="Accent1 10" xfId="788"/>
    <cellStyle name="Accent1 11" xfId="789"/>
    <cellStyle name="Accent1 12" xfId="790"/>
    <cellStyle name="Accent1 13" xfId="791"/>
    <cellStyle name="Accent1 14" xfId="792"/>
    <cellStyle name="Accent1 15" xfId="793"/>
    <cellStyle name="Accent1 16" xfId="794"/>
    <cellStyle name="Accent1 2" xfId="795"/>
    <cellStyle name="Accent1 3" xfId="796"/>
    <cellStyle name="Accent1 4" xfId="797"/>
    <cellStyle name="Accent1 5" xfId="798"/>
    <cellStyle name="Accent1 6" xfId="799"/>
    <cellStyle name="Accent1 7" xfId="800"/>
    <cellStyle name="Accent1 8" xfId="801"/>
    <cellStyle name="Accent1 9" xfId="802"/>
    <cellStyle name="Accent2 10" xfId="803"/>
    <cellStyle name="Accent2 11" xfId="804"/>
    <cellStyle name="Accent2 12" xfId="805"/>
    <cellStyle name="Accent2 13" xfId="806"/>
    <cellStyle name="Accent2 14" xfId="807"/>
    <cellStyle name="Accent2 15" xfId="808"/>
    <cellStyle name="Accent2 16" xfId="809"/>
    <cellStyle name="Accent2 2" xfId="810"/>
    <cellStyle name="Accent2 3" xfId="811"/>
    <cellStyle name="Accent2 4" xfId="812"/>
    <cellStyle name="Accent2 5" xfId="813"/>
    <cellStyle name="Accent2 6" xfId="814"/>
    <cellStyle name="Accent2 7" xfId="815"/>
    <cellStyle name="Accent2 8" xfId="816"/>
    <cellStyle name="Accent2 9" xfId="817"/>
    <cellStyle name="Accent3 10" xfId="818"/>
    <cellStyle name="Accent3 11" xfId="819"/>
    <cellStyle name="Accent3 12" xfId="820"/>
    <cellStyle name="Accent3 13" xfId="821"/>
    <cellStyle name="Accent3 14" xfId="822"/>
    <cellStyle name="Accent3 15" xfId="823"/>
    <cellStyle name="Accent3 16" xfId="824"/>
    <cellStyle name="Accent3 2" xfId="825"/>
    <cellStyle name="Accent3 3" xfId="826"/>
    <cellStyle name="Accent3 4" xfId="827"/>
    <cellStyle name="Accent3 5" xfId="828"/>
    <cellStyle name="Accent3 6" xfId="829"/>
    <cellStyle name="Accent3 7" xfId="830"/>
    <cellStyle name="Accent3 8" xfId="831"/>
    <cellStyle name="Accent3 9" xfId="832"/>
    <cellStyle name="Accent4 10" xfId="833"/>
    <cellStyle name="Accent4 11" xfId="834"/>
    <cellStyle name="Accent4 12" xfId="835"/>
    <cellStyle name="Accent4 13" xfId="836"/>
    <cellStyle name="Accent4 14" xfId="837"/>
    <cellStyle name="Accent4 15" xfId="838"/>
    <cellStyle name="Accent4 16" xfId="839"/>
    <cellStyle name="Accent4 2" xfId="840"/>
    <cellStyle name="Accent4 3" xfId="841"/>
    <cellStyle name="Accent4 4" xfId="842"/>
    <cellStyle name="Accent4 5" xfId="843"/>
    <cellStyle name="Accent4 6" xfId="844"/>
    <cellStyle name="Accent4 7" xfId="845"/>
    <cellStyle name="Accent4 8" xfId="846"/>
    <cellStyle name="Accent4 9" xfId="847"/>
    <cellStyle name="Accent5 10" xfId="848"/>
    <cellStyle name="Accent5 11" xfId="849"/>
    <cellStyle name="Accent5 12" xfId="850"/>
    <cellStyle name="Accent5 13" xfId="851"/>
    <cellStyle name="Accent5 14" xfId="852"/>
    <cellStyle name="Accent5 15" xfId="853"/>
    <cellStyle name="Accent5 16" xfId="854"/>
    <cellStyle name="Accent5 2" xfId="855"/>
    <cellStyle name="Accent5 3" xfId="856"/>
    <cellStyle name="Accent5 4" xfId="857"/>
    <cellStyle name="Accent5 5" xfId="858"/>
    <cellStyle name="Accent5 6" xfId="859"/>
    <cellStyle name="Accent5 7" xfId="860"/>
    <cellStyle name="Accent5 8" xfId="861"/>
    <cellStyle name="Accent5 9" xfId="862"/>
    <cellStyle name="Accent6 10" xfId="863"/>
    <cellStyle name="Accent6 11" xfId="864"/>
    <cellStyle name="Accent6 12" xfId="865"/>
    <cellStyle name="Accent6 13" xfId="866"/>
    <cellStyle name="Accent6 14" xfId="867"/>
    <cellStyle name="Accent6 15" xfId="868"/>
    <cellStyle name="Accent6 16" xfId="869"/>
    <cellStyle name="Accent6 2" xfId="870"/>
    <cellStyle name="Accent6 3" xfId="871"/>
    <cellStyle name="Accent6 4" xfId="872"/>
    <cellStyle name="Accent6 5" xfId="873"/>
    <cellStyle name="Accent6 6" xfId="874"/>
    <cellStyle name="Accent6 7" xfId="875"/>
    <cellStyle name="Accent6 8" xfId="876"/>
    <cellStyle name="Accent6 9" xfId="877"/>
    <cellStyle name="Bad 10" xfId="878"/>
    <cellStyle name="Bad 11" xfId="879"/>
    <cellStyle name="Bad 12" xfId="880"/>
    <cellStyle name="Bad 13" xfId="881"/>
    <cellStyle name="Bad 14" xfId="882"/>
    <cellStyle name="Bad 15" xfId="883"/>
    <cellStyle name="Bad 16" xfId="884"/>
    <cellStyle name="Bad 2" xfId="885"/>
    <cellStyle name="Bad 3" xfId="886"/>
    <cellStyle name="Bad 4" xfId="887"/>
    <cellStyle name="Bad 5" xfId="888"/>
    <cellStyle name="Bad 6" xfId="889"/>
    <cellStyle name="Bad 7" xfId="890"/>
    <cellStyle name="Bad 8" xfId="891"/>
    <cellStyle name="Bad 9" xfId="892"/>
    <cellStyle name="Calculation 10" xfId="893"/>
    <cellStyle name="Calculation 11" xfId="894"/>
    <cellStyle name="Calculation 12" xfId="895"/>
    <cellStyle name="Calculation 13" xfId="896"/>
    <cellStyle name="Calculation 14" xfId="897"/>
    <cellStyle name="Calculation 15" xfId="898"/>
    <cellStyle name="Calculation 16" xfId="899"/>
    <cellStyle name="Calculation 2" xfId="900"/>
    <cellStyle name="Calculation 3" xfId="901"/>
    <cellStyle name="Calculation 4" xfId="902"/>
    <cellStyle name="Calculation 5" xfId="903"/>
    <cellStyle name="Calculation 6" xfId="904"/>
    <cellStyle name="Calculation 7" xfId="905"/>
    <cellStyle name="Calculation 8" xfId="906"/>
    <cellStyle name="Calculation 9" xfId="907"/>
    <cellStyle name="Check Cell 10" xfId="908"/>
    <cellStyle name="Check Cell 11" xfId="909"/>
    <cellStyle name="Check Cell 12" xfId="910"/>
    <cellStyle name="Check Cell 13" xfId="911"/>
    <cellStyle name="Check Cell 14" xfId="912"/>
    <cellStyle name="Check Cell 15" xfId="913"/>
    <cellStyle name="Check Cell 16" xfId="914"/>
    <cellStyle name="Check Cell 2" xfId="915"/>
    <cellStyle name="Check Cell 3" xfId="916"/>
    <cellStyle name="Check Cell 4" xfId="917"/>
    <cellStyle name="Check Cell 5" xfId="918"/>
    <cellStyle name="Check Cell 6" xfId="919"/>
    <cellStyle name="Check Cell 7" xfId="920"/>
    <cellStyle name="Check Cell 8" xfId="921"/>
    <cellStyle name="Check Cell 9" xfId="922"/>
    <cellStyle name="Comma [0] 2" xfId="923"/>
    <cellStyle name="Comma [0] 2 2" xfId="1473"/>
    <cellStyle name="Comma 2" xfId="924"/>
    <cellStyle name="Comma 2 2" xfId="925"/>
    <cellStyle name="Comma 2 3" xfId="926"/>
    <cellStyle name="Comma 2 4" xfId="927"/>
    <cellStyle name="Comma 2 4 2" xfId="928"/>
    <cellStyle name="Comma 2 5" xfId="929"/>
    <cellStyle name="Comma 2 5 2" xfId="930"/>
    <cellStyle name="Comma 2 6" xfId="931"/>
    <cellStyle name="Comma 2 7" xfId="932"/>
    <cellStyle name="Comma 3" xfId="933"/>
    <cellStyle name="Comma 3 2" xfId="934"/>
    <cellStyle name="Comma 3 2 2" xfId="1475"/>
    <cellStyle name="Comma 3 3" xfId="1474"/>
    <cellStyle name="Comma 4" xfId="9"/>
    <cellStyle name="Comma 4 2" xfId="936"/>
    <cellStyle name="Comma 4 2 2" xfId="1477"/>
    <cellStyle name="Comma 4 3" xfId="935"/>
    <cellStyle name="Comma 4 3 2" xfId="1476"/>
    <cellStyle name="Comma 4 4" xfId="1472"/>
    <cellStyle name="Comma 5" xfId="1465"/>
    <cellStyle name="Comma 5 2" xfId="1489"/>
    <cellStyle name="Comma 6" xfId="1459"/>
    <cellStyle name="Comma 6 2" xfId="1484"/>
    <cellStyle name="Currency 2" xfId="1464"/>
    <cellStyle name="Currency 2 2" xfId="1488"/>
    <cellStyle name="Currency 3" xfId="1463"/>
    <cellStyle name="Currency 3 2" xfId="1487"/>
    <cellStyle name="Currency 4" xfId="1460"/>
    <cellStyle name="Explanatory Text 10" xfId="937"/>
    <cellStyle name="Explanatory Text 11" xfId="938"/>
    <cellStyle name="Explanatory Text 12" xfId="939"/>
    <cellStyle name="Explanatory Text 13" xfId="940"/>
    <cellStyle name="Explanatory Text 14" xfId="941"/>
    <cellStyle name="Explanatory Text 15" xfId="942"/>
    <cellStyle name="Explanatory Text 16" xfId="943"/>
    <cellStyle name="Explanatory Text 2" xfId="944"/>
    <cellStyle name="Explanatory Text 3" xfId="945"/>
    <cellStyle name="Explanatory Text 4" xfId="946"/>
    <cellStyle name="Explanatory Text 5" xfId="947"/>
    <cellStyle name="Explanatory Text 6" xfId="948"/>
    <cellStyle name="Explanatory Text 7" xfId="949"/>
    <cellStyle name="Explanatory Text 8" xfId="950"/>
    <cellStyle name="Explanatory Text 9" xfId="951"/>
    <cellStyle name="Good 10" xfId="952"/>
    <cellStyle name="Good 11" xfId="953"/>
    <cellStyle name="Good 12" xfId="954"/>
    <cellStyle name="Good 13" xfId="955"/>
    <cellStyle name="Good 14" xfId="956"/>
    <cellStyle name="Good 15" xfId="957"/>
    <cellStyle name="Good 16" xfId="958"/>
    <cellStyle name="Good 2" xfId="959"/>
    <cellStyle name="Good 3" xfId="960"/>
    <cellStyle name="Good 4" xfId="961"/>
    <cellStyle name="Good 5" xfId="962"/>
    <cellStyle name="Good 6" xfId="963"/>
    <cellStyle name="Good 7" xfId="964"/>
    <cellStyle name="Good 8" xfId="965"/>
    <cellStyle name="Good 9" xfId="966"/>
    <cellStyle name="Heading 1 10" xfId="967"/>
    <cellStyle name="Heading 1 11" xfId="968"/>
    <cellStyle name="Heading 1 12" xfId="969"/>
    <cellStyle name="Heading 1 13" xfId="970"/>
    <cellStyle name="Heading 1 14" xfId="971"/>
    <cellStyle name="Heading 1 15" xfId="972"/>
    <cellStyle name="Heading 1 16" xfId="973"/>
    <cellStyle name="Heading 1 2" xfId="974"/>
    <cellStyle name="Heading 1 3" xfId="975"/>
    <cellStyle name="Heading 1 4" xfId="976"/>
    <cellStyle name="Heading 1 5" xfId="977"/>
    <cellStyle name="Heading 1 6" xfId="978"/>
    <cellStyle name="Heading 1 7" xfId="979"/>
    <cellStyle name="Heading 1 8" xfId="980"/>
    <cellStyle name="Heading 1 9" xfId="981"/>
    <cellStyle name="Heading 2 10" xfId="982"/>
    <cellStyle name="Heading 2 11" xfId="983"/>
    <cellStyle name="Heading 2 12" xfId="984"/>
    <cellStyle name="Heading 2 13" xfId="985"/>
    <cellStyle name="Heading 2 14" xfId="986"/>
    <cellStyle name="Heading 2 15" xfId="987"/>
    <cellStyle name="Heading 2 16" xfId="988"/>
    <cellStyle name="Heading 2 2" xfId="989"/>
    <cellStyle name="Heading 2 3" xfId="990"/>
    <cellStyle name="Heading 2 4" xfId="991"/>
    <cellStyle name="Heading 2 5" xfId="992"/>
    <cellStyle name="Heading 2 6" xfId="993"/>
    <cellStyle name="Heading 2 7" xfId="994"/>
    <cellStyle name="Heading 2 8" xfId="995"/>
    <cellStyle name="Heading 2 9" xfId="996"/>
    <cellStyle name="Heading 3 10" xfId="997"/>
    <cellStyle name="Heading 3 11" xfId="998"/>
    <cellStyle name="Heading 3 12" xfId="999"/>
    <cellStyle name="Heading 3 13" xfId="1000"/>
    <cellStyle name="Heading 3 14" xfId="1001"/>
    <cellStyle name="Heading 3 15" xfId="1002"/>
    <cellStyle name="Heading 3 16" xfId="1003"/>
    <cellStyle name="Heading 3 2" xfId="1004"/>
    <cellStyle name="Heading 3 3" xfId="1005"/>
    <cellStyle name="Heading 3 4" xfId="1006"/>
    <cellStyle name="Heading 3 5" xfId="1007"/>
    <cellStyle name="Heading 3 6" xfId="1008"/>
    <cellStyle name="Heading 3 7" xfId="1009"/>
    <cellStyle name="Heading 3 8" xfId="1010"/>
    <cellStyle name="Heading 3 9" xfId="1011"/>
    <cellStyle name="Heading 4 10" xfId="1012"/>
    <cellStyle name="Heading 4 11" xfId="1013"/>
    <cellStyle name="Heading 4 12" xfId="1014"/>
    <cellStyle name="Heading 4 13" xfId="1015"/>
    <cellStyle name="Heading 4 14" xfId="1016"/>
    <cellStyle name="Heading 4 15" xfId="1017"/>
    <cellStyle name="Heading 4 16" xfId="1018"/>
    <cellStyle name="Heading 4 2" xfId="1019"/>
    <cellStyle name="Heading 4 3" xfId="1020"/>
    <cellStyle name="Heading 4 4" xfId="1021"/>
    <cellStyle name="Heading 4 5" xfId="1022"/>
    <cellStyle name="Heading 4 6" xfId="1023"/>
    <cellStyle name="Heading 4 7" xfId="1024"/>
    <cellStyle name="Heading 4 8" xfId="1025"/>
    <cellStyle name="Heading 4 9" xfId="1026"/>
    <cellStyle name="Hyperlink 2" xfId="1027"/>
    <cellStyle name="Hyperlink 3" xfId="1028"/>
    <cellStyle name="Input 10" xfId="1029"/>
    <cellStyle name="Input 11" xfId="1030"/>
    <cellStyle name="Input 12" xfId="1031"/>
    <cellStyle name="Input 13" xfId="1032"/>
    <cellStyle name="Input 14" xfId="1033"/>
    <cellStyle name="Input 15" xfId="1034"/>
    <cellStyle name="Input 16" xfId="1035"/>
    <cellStyle name="Input 2" xfId="1036"/>
    <cellStyle name="Input 3" xfId="1037"/>
    <cellStyle name="Input 4" xfId="1038"/>
    <cellStyle name="Input 5" xfId="1039"/>
    <cellStyle name="Input 6" xfId="1040"/>
    <cellStyle name="Input 7" xfId="1041"/>
    <cellStyle name="Input 8" xfId="1042"/>
    <cellStyle name="Input 9" xfId="1043"/>
    <cellStyle name="Linked Cell 10" xfId="1044"/>
    <cellStyle name="Linked Cell 11" xfId="1045"/>
    <cellStyle name="Linked Cell 12" xfId="1046"/>
    <cellStyle name="Linked Cell 13" xfId="1047"/>
    <cellStyle name="Linked Cell 14" xfId="1048"/>
    <cellStyle name="Linked Cell 15" xfId="1049"/>
    <cellStyle name="Linked Cell 16" xfId="1050"/>
    <cellStyle name="Linked Cell 2" xfId="1051"/>
    <cellStyle name="Linked Cell 3" xfId="1052"/>
    <cellStyle name="Linked Cell 4" xfId="1053"/>
    <cellStyle name="Linked Cell 5" xfId="1054"/>
    <cellStyle name="Linked Cell 6" xfId="1055"/>
    <cellStyle name="Linked Cell 7" xfId="1056"/>
    <cellStyle name="Linked Cell 8" xfId="1057"/>
    <cellStyle name="Linked Cell 9" xfId="1058"/>
    <cellStyle name="Neutral 10" xfId="1059"/>
    <cellStyle name="Neutral 11" xfId="1060"/>
    <cellStyle name="Neutral 12" xfId="1061"/>
    <cellStyle name="Neutral 13" xfId="1062"/>
    <cellStyle name="Neutral 14" xfId="1063"/>
    <cellStyle name="Neutral 15" xfId="1064"/>
    <cellStyle name="Neutral 16" xfId="1065"/>
    <cellStyle name="Neutral 2" xfId="1066"/>
    <cellStyle name="Neutral 3" xfId="1067"/>
    <cellStyle name="Neutral 4" xfId="1068"/>
    <cellStyle name="Neutral 5" xfId="1069"/>
    <cellStyle name="Neutral 6" xfId="1070"/>
    <cellStyle name="Neutral 7" xfId="1071"/>
    <cellStyle name="Neutral 8" xfId="1072"/>
    <cellStyle name="Neutral 9" xfId="1073"/>
    <cellStyle name="Normal" xfId="0" builtinId="0"/>
    <cellStyle name="Normal 10" xfId="1074"/>
    <cellStyle name="Normal 10 2" xfId="1"/>
    <cellStyle name="Normal 10 2 2" xfId="1075"/>
    <cellStyle name="Normal 10 3" xfId="1076"/>
    <cellStyle name="Normal 10 4" xfId="1077"/>
    <cellStyle name="Normal 10 5" xfId="1078"/>
    <cellStyle name="Normal 10 5 2" xfId="1079"/>
    <cellStyle name="Normal 10 5 2 2" xfId="1080"/>
    <cellStyle name="Normal 10 5 3" xfId="1081"/>
    <cellStyle name="Normal 10 6" xfId="1082"/>
    <cellStyle name="Normal 10 6 2" xfId="1083"/>
    <cellStyle name="Normal 10 7" xfId="1084"/>
    <cellStyle name="Normal 11" xfId="1085"/>
    <cellStyle name="Normal 12" xfId="1086"/>
    <cellStyle name="Normal 12 2" xfId="1087"/>
    <cellStyle name="Normal 12 2 2" xfId="1088"/>
    <cellStyle name="Normal 13" xfId="2"/>
    <cellStyle name="Normal 14" xfId="1089"/>
    <cellStyle name="Normal 14 2" xfId="1090"/>
    <cellStyle name="Normal 15" xfId="1091"/>
    <cellStyle name="Normal 16" xfId="1092"/>
    <cellStyle name="Normal 17" xfId="1093"/>
    <cellStyle name="Normal 18" xfId="1094"/>
    <cellStyle name="Normal 19" xfId="1095"/>
    <cellStyle name="Normal 2" xfId="1096"/>
    <cellStyle name="Normal 2 10" xfId="4"/>
    <cellStyle name="Normal 2 10 2" xfId="1098"/>
    <cellStyle name="Normal 2 10 3" xfId="1099"/>
    <cellStyle name="Normal 2 10 4" xfId="1100"/>
    <cellStyle name="Normal 2 10 5" xfId="1097"/>
    <cellStyle name="Normal 2 10 5 2" xfId="1478"/>
    <cellStyle name="Normal 2 10 6" xfId="1469"/>
    <cellStyle name="Normal 2 10 9" xfId="3"/>
    <cellStyle name="Normal 2 10 9 2" xfId="1102"/>
    <cellStyle name="Normal 2 10 9 3" xfId="1101"/>
    <cellStyle name="Normal 2 10 9 3 2" xfId="1479"/>
    <cellStyle name="Normal 2 10 9 4" xfId="1468"/>
    <cellStyle name="Normal 2 11" xfId="1103"/>
    <cellStyle name="Normal 2 11 2" xfId="1104"/>
    <cellStyle name="Normal 2 12" xfId="1105"/>
    <cellStyle name="Normal 2 13" xfId="1106"/>
    <cellStyle name="Normal 2 13 10" xfId="1107"/>
    <cellStyle name="Normal 2 13 11" xfId="1108"/>
    <cellStyle name="Normal 2 13 12" xfId="1109"/>
    <cellStyle name="Normal 2 13 13" xfId="1110"/>
    <cellStyle name="Normal 2 13 2" xfId="1111"/>
    <cellStyle name="Normal 2 13 2 10" xfId="1112"/>
    <cellStyle name="Normal 2 13 2 11" xfId="1113"/>
    <cellStyle name="Normal 2 13 2 12" xfId="1114"/>
    <cellStyle name="Normal 2 13 2 13" xfId="1115"/>
    <cellStyle name="Normal 2 13 2 2" xfId="1116"/>
    <cellStyle name="Normal 2 13 2 3" xfId="1117"/>
    <cellStyle name="Normal 2 13 2 4" xfId="1118"/>
    <cellStyle name="Normal 2 13 2 5" xfId="1119"/>
    <cellStyle name="Normal 2 13 2 6" xfId="1120"/>
    <cellStyle name="Normal 2 13 2 7" xfId="1121"/>
    <cellStyle name="Normal 2 13 2 8" xfId="1122"/>
    <cellStyle name="Normal 2 13 2 9" xfId="1123"/>
    <cellStyle name="Normal 2 13 3" xfId="1124"/>
    <cellStyle name="Normal 2 13 4" xfId="1125"/>
    <cellStyle name="Normal 2 13 5" xfId="1126"/>
    <cellStyle name="Normal 2 13 6" xfId="1127"/>
    <cellStyle name="Normal 2 13 7" xfId="1128"/>
    <cellStyle name="Normal 2 13 8" xfId="1129"/>
    <cellStyle name="Normal 2 13 9" xfId="1130"/>
    <cellStyle name="Normal 2 14" xfId="1131"/>
    <cellStyle name="Normal 2 15" xfId="1132"/>
    <cellStyle name="Normal 2 16" xfId="1133"/>
    <cellStyle name="Normal 2 17" xfId="1134"/>
    <cellStyle name="Normal 2 18" xfId="1135"/>
    <cellStyle name="Normal 2 19" xfId="1136"/>
    <cellStyle name="Normal 2 2" xfId="1137"/>
    <cellStyle name="Normal 2 2 10" xfId="1138"/>
    <cellStyle name="Normal 2 2 10 2" xfId="1139"/>
    <cellStyle name="Normal 2 2 11" xfId="1140"/>
    <cellStyle name="Normal 2 2 11 2" xfId="1141"/>
    <cellStyle name="Normal 2 2 12" xfId="1142"/>
    <cellStyle name="Normal 2 2 12 2" xfId="1143"/>
    <cellStyle name="Normal 2 2 13" xfId="1144"/>
    <cellStyle name="Normal 2 2 13 2" xfId="1145"/>
    <cellStyle name="Normal 2 2 14" xfId="1146"/>
    <cellStyle name="Normal 2 2 14 2" xfId="1147"/>
    <cellStyle name="Normal 2 2 15" xfId="1148"/>
    <cellStyle name="Normal 2 2 15 2" xfId="1149"/>
    <cellStyle name="Normal 2 2 16" xfId="1150"/>
    <cellStyle name="Normal 2 2 16 2" xfId="1151"/>
    <cellStyle name="Normal 2 2 17" xfId="1152"/>
    <cellStyle name="Normal 2 2 17 2" xfId="1153"/>
    <cellStyle name="Normal 2 2 18" xfId="1154"/>
    <cellStyle name="Normal 2 2 18 2" xfId="1155"/>
    <cellStyle name="Normal 2 2 19" xfId="1156"/>
    <cellStyle name="Normal 2 2 19 2" xfId="1157"/>
    <cellStyle name="Normal 2 2 2" xfId="1158"/>
    <cellStyle name="Normal 2 2 2 2" xfId="1159"/>
    <cellStyle name="Normal 2 2 20" xfId="1160"/>
    <cellStyle name="Normal 2 2 21" xfId="1161"/>
    <cellStyle name="Normal 2 2 22" xfId="1162"/>
    <cellStyle name="Normal 2 2 3" xfId="6"/>
    <cellStyle name="Normal 2 2 4" xfId="1163"/>
    <cellStyle name="Normal 2 2 4 10" xfId="1164"/>
    <cellStyle name="Normal 2 2 4 11" xfId="1165"/>
    <cellStyle name="Normal 2 2 4 12" xfId="1166"/>
    <cellStyle name="Normal 2 2 4 13" xfId="1167"/>
    <cellStyle name="Normal 2 2 4 14" xfId="1168"/>
    <cellStyle name="Normal 2 2 4 2" xfId="1169"/>
    <cellStyle name="Normal 2 2 4 2 10" xfId="1170"/>
    <cellStyle name="Normal 2 2 4 2 10 2" xfId="1171"/>
    <cellStyle name="Normal 2 2 4 2 11" xfId="1172"/>
    <cellStyle name="Normal 2 2 4 2 11 2" xfId="1173"/>
    <cellStyle name="Normal 2 2 4 2 12" xfId="1174"/>
    <cellStyle name="Normal 2 2 4 2 12 2" xfId="1175"/>
    <cellStyle name="Normal 2 2 4 2 13" xfId="1176"/>
    <cellStyle name="Normal 2 2 4 2 13 2" xfId="1177"/>
    <cellStyle name="Normal 2 2 4 2 2" xfId="1178"/>
    <cellStyle name="Normal 2 2 4 2 2 2" xfId="1179"/>
    <cellStyle name="Normal 2 2 4 2 3" xfId="1180"/>
    <cellStyle name="Normal 2 2 4 2 3 2" xfId="1181"/>
    <cellStyle name="Normal 2 2 4 2 4" xfId="1182"/>
    <cellStyle name="Normal 2 2 4 2 4 2" xfId="1183"/>
    <cellStyle name="Normal 2 2 4 2 5" xfId="1184"/>
    <cellStyle name="Normal 2 2 4 2 5 2" xfId="1185"/>
    <cellStyle name="Normal 2 2 4 2 6" xfId="1186"/>
    <cellStyle name="Normal 2 2 4 2 6 2" xfId="1187"/>
    <cellStyle name="Normal 2 2 4 2 7" xfId="1188"/>
    <cellStyle name="Normal 2 2 4 2 7 2" xfId="1189"/>
    <cellStyle name="Normal 2 2 4 2 8" xfId="1190"/>
    <cellStyle name="Normal 2 2 4 2 8 2" xfId="1191"/>
    <cellStyle name="Normal 2 2 4 2 9" xfId="1192"/>
    <cellStyle name="Normal 2 2 4 2 9 2" xfId="1193"/>
    <cellStyle name="Normal 2 2 4 3" xfId="1194"/>
    <cellStyle name="Normal 2 2 4 4" xfId="1195"/>
    <cellStyle name="Normal 2 2 4 5" xfId="1196"/>
    <cellStyle name="Normal 2 2 4 6" xfId="1197"/>
    <cellStyle name="Normal 2 2 4 7" xfId="1198"/>
    <cellStyle name="Normal 2 2 4 8" xfId="1199"/>
    <cellStyle name="Normal 2 2 4 9" xfId="1200"/>
    <cellStyle name="Normal 2 2 5" xfId="1201"/>
    <cellStyle name="Normal 2 2 5 2" xfId="1202"/>
    <cellStyle name="Normal 2 2 6" xfId="1203"/>
    <cellStyle name="Normal 2 2 6 2" xfId="1204"/>
    <cellStyle name="Normal 2 2 7" xfId="1205"/>
    <cellStyle name="Normal 2 2 7 2" xfId="1206"/>
    <cellStyle name="Normal 2 2 8" xfId="1207"/>
    <cellStyle name="Normal 2 2 8 2" xfId="1208"/>
    <cellStyle name="Normal 2 2 8 2 2" xfId="1209"/>
    <cellStyle name="Normal 2 2 8 3" xfId="1210"/>
    <cellStyle name="Normal 2 2 9" xfId="1211"/>
    <cellStyle name="Normal 2 2 9 2" xfId="1212"/>
    <cellStyle name="Normal 2 20" xfId="1213"/>
    <cellStyle name="Normal 2 21" xfId="1214"/>
    <cellStyle name="Normal 2 22" xfId="1215"/>
    <cellStyle name="Normal 2 23" xfId="1216"/>
    <cellStyle name="Normal 2 24" xfId="1217"/>
    <cellStyle name="Normal 2 25" xfId="1218"/>
    <cellStyle name="Normal 2 26" xfId="1219"/>
    <cellStyle name="Normal 2 27" xfId="1220"/>
    <cellStyle name="Normal 2 28" xfId="1221"/>
    <cellStyle name="Normal 2 3" xfId="1222"/>
    <cellStyle name="Normal 2 3 2" xfId="1223"/>
    <cellStyle name="Normal 2 4" xfId="10"/>
    <cellStyle name="Normal 2 5" xfId="1224"/>
    <cellStyle name="Normal 2 6" xfId="1225"/>
    <cellStyle name="Normal 2 7" xfId="1226"/>
    <cellStyle name="Normal 2 7 2" xfId="1227"/>
    <cellStyle name="Normal 2 8" xfId="1228"/>
    <cellStyle name="Normal 2 8 2" xfId="1229"/>
    <cellStyle name="Normal 2 9" xfId="1230"/>
    <cellStyle name="Normal 2 9 2" xfId="1231"/>
    <cellStyle name="Normal 2_2210_2220_2230_2240_2250_2260" xfId="1232"/>
    <cellStyle name="Normal 20" xfId="1233"/>
    <cellStyle name="Normal 21" xfId="1234"/>
    <cellStyle name="Normal 22" xfId="1235"/>
    <cellStyle name="Normal 23" xfId="1236"/>
    <cellStyle name="Normal 24" xfId="1237"/>
    <cellStyle name="Normal 25" xfId="1238"/>
    <cellStyle name="Normal 26" xfId="8"/>
    <cellStyle name="Normal 26 2" xfId="1240"/>
    <cellStyle name="Normal 26 2 2" xfId="1481"/>
    <cellStyle name="Normal 26 3" xfId="1241"/>
    <cellStyle name="Normal 26 4" xfId="1239"/>
    <cellStyle name="Normal 26 4 2" xfId="1480"/>
    <cellStyle name="Normal 26 5" xfId="1471"/>
    <cellStyle name="Normal 27" xfId="11"/>
    <cellStyle name="Normal 28" xfId="1242"/>
    <cellStyle name="Normal 29" xfId="1243"/>
    <cellStyle name="Normal 29 2" xfId="1244"/>
    <cellStyle name="Normal 3" xfId="1245"/>
    <cellStyle name="Normal 3 10" xfId="1246"/>
    <cellStyle name="Normal 3 10 2" xfId="1247"/>
    <cellStyle name="Normal 3 11" xfId="1248"/>
    <cellStyle name="Normal 3 12" xfId="1249"/>
    <cellStyle name="Normal 3 13" xfId="1250"/>
    <cellStyle name="Normal 3 14" xfId="1251"/>
    <cellStyle name="Normal 3 15" xfId="1252"/>
    <cellStyle name="Normal 3 16" xfId="1253"/>
    <cellStyle name="Normal 3 17" xfId="1254"/>
    <cellStyle name="Normal 3 18" xfId="1255"/>
    <cellStyle name="Normal 3 19" xfId="1256"/>
    <cellStyle name="Normal 3 2" xfId="1257"/>
    <cellStyle name="Normal 3 2 2" xfId="1258"/>
    <cellStyle name="Normal 3 20" xfId="1259"/>
    <cellStyle name="Normal 3 21" xfId="1260"/>
    <cellStyle name="Normal 3 22" xfId="1261"/>
    <cellStyle name="Normal 3 23" xfId="1262"/>
    <cellStyle name="Normal 3 24" xfId="1462"/>
    <cellStyle name="Normal 3 24 2" xfId="1486"/>
    <cellStyle name="Normal 3 3" xfId="1263"/>
    <cellStyle name="Normal 3 3 2" xfId="1264"/>
    <cellStyle name="Normal 3 4" xfId="1265"/>
    <cellStyle name="Normal 3 4 2" xfId="1266"/>
    <cellStyle name="Normal 3 5" xfId="1267"/>
    <cellStyle name="Normal 3 6" xfId="1268"/>
    <cellStyle name="Normal 3 6 2" xfId="1269"/>
    <cellStyle name="Normal 3 7" xfId="1270"/>
    <cellStyle name="Normal 3 7 2" xfId="1271"/>
    <cellStyle name="Normal 3 8" xfId="1272"/>
    <cellStyle name="Normal 3 8 2" xfId="1273"/>
    <cellStyle name="Normal 3 9" xfId="1274"/>
    <cellStyle name="Normal 3 9 2" xfId="1275"/>
    <cellStyle name="Normal 3_2210_2220_2230_2240_2250_2260" xfId="1276"/>
    <cellStyle name="Normal 30" xfId="1277"/>
    <cellStyle name="Normal 30 2" xfId="1278"/>
    <cellStyle name="Normal 31" xfId="1279"/>
    <cellStyle name="Normal 31 2" xfId="1280"/>
    <cellStyle name="Normal 32" xfId="1281"/>
    <cellStyle name="Normal 32 2" xfId="1282"/>
    <cellStyle name="Normal 32 2 2" xfId="1283"/>
    <cellStyle name="Normal 32 3" xfId="1284"/>
    <cellStyle name="Normal 32 3 2" xfId="1285"/>
    <cellStyle name="Normal 32 4" xfId="1286"/>
    <cellStyle name="Normal 32 4 2" xfId="1287"/>
    <cellStyle name="Normal 32 5" xfId="1288"/>
    <cellStyle name="Normal 33" xfId="1289"/>
    <cellStyle name="Normal 33 2" xfId="1290"/>
    <cellStyle name="Normal 34" xfId="1291"/>
    <cellStyle name="Normal 34 2" xfId="1292"/>
    <cellStyle name="Normal 35" xfId="1293"/>
    <cellStyle name="Normal 35 2" xfId="1294"/>
    <cellStyle name="Normal 36" xfId="1295"/>
    <cellStyle name="Normal 36 2" xfId="1296"/>
    <cellStyle name="Normal 37" xfId="1297"/>
    <cellStyle name="Normal 37 2" xfId="1298"/>
    <cellStyle name="Normal 38" xfId="1299"/>
    <cellStyle name="Normal 39" xfId="1461"/>
    <cellStyle name="Normal 39 2" xfId="1485"/>
    <cellStyle name="Normal 4" xfId="1300"/>
    <cellStyle name="Normal 4 10" xfId="1301"/>
    <cellStyle name="Normal 4 11" xfId="1302"/>
    <cellStyle name="Normal 4 12" xfId="1303"/>
    <cellStyle name="Normal 4 13" xfId="1304"/>
    <cellStyle name="Normal 4 14" xfId="1305"/>
    <cellStyle name="Normal 4 15" xfId="1306"/>
    <cellStyle name="Normal 4 16" xfId="1307"/>
    <cellStyle name="Normal 4 17" xfId="1308"/>
    <cellStyle name="Normal 4 2" xfId="1309"/>
    <cellStyle name="Normal 4 2 2" xfId="1310"/>
    <cellStyle name="Normal 4 2 2 2" xfId="1311"/>
    <cellStyle name="Normal 4 2 3" xfId="1312"/>
    <cellStyle name="Normal 4 3" xfId="1313"/>
    <cellStyle name="Normal 4 3 2" xfId="1314"/>
    <cellStyle name="Normal 4 4" xfId="1315"/>
    <cellStyle name="Normal 4 4 2" xfId="1316"/>
    <cellStyle name="Normal 4 5" xfId="1317"/>
    <cellStyle name="Normal 4 6" xfId="1318"/>
    <cellStyle name="Normal 4 7" xfId="1319"/>
    <cellStyle name="Normal 4 8" xfId="1320"/>
    <cellStyle name="Normal 4 9" xfId="1321"/>
    <cellStyle name="Normal 4_2210_2220_2230_2240_2250_2260" xfId="1322"/>
    <cellStyle name="Normal 40" xfId="1466"/>
    <cellStyle name="Normal 45" xfId="1323"/>
    <cellStyle name="Normal 45 2" xfId="1324"/>
    <cellStyle name="Normal 45 2 2" xfId="1325"/>
    <cellStyle name="Normal 45 3" xfId="1326"/>
    <cellStyle name="Normal 45 3 2" xfId="1327"/>
    <cellStyle name="Normal 45 4" xfId="1328"/>
    <cellStyle name="Normal 45 4 2" xfId="1329"/>
    <cellStyle name="Normal 45 5" xfId="1330"/>
    <cellStyle name="Normal 5" xfId="1331"/>
    <cellStyle name="Normal 5 2" xfId="1332"/>
    <cellStyle name="Normal 5 3" xfId="1333"/>
    <cellStyle name="Normal 50" xfId="1334"/>
    <cellStyle name="Normal 50 2" xfId="1335"/>
    <cellStyle name="Normal 50 2 2" xfId="1336"/>
    <cellStyle name="Normal 50 3" xfId="1337"/>
    <cellStyle name="Normal 50 3 2" xfId="1338"/>
    <cellStyle name="Normal 50 4" xfId="1339"/>
    <cellStyle name="Normal 51" xfId="1340"/>
    <cellStyle name="Normal 51 2" xfId="1341"/>
    <cellStyle name="Normal 51 2 2" xfId="1342"/>
    <cellStyle name="Normal 51 3" xfId="1343"/>
    <cellStyle name="Normal 51 3 2" xfId="1344"/>
    <cellStyle name="Normal 51 4" xfId="1345"/>
    <cellStyle name="Normal 6" xfId="1346"/>
    <cellStyle name="Normal 6 2" xfId="1347"/>
    <cellStyle name="Normal 6 2 2" xfId="1348"/>
    <cellStyle name="Normal 6 3" xfId="1349"/>
    <cellStyle name="Normal 6 4" xfId="1350"/>
    <cellStyle name="Normal 6 4 2" xfId="7"/>
    <cellStyle name="Normal 6 4 2 2" xfId="1352"/>
    <cellStyle name="Normal 6 4 2 2 2" xfId="1353"/>
    <cellStyle name="Normal 6 4 2 2 3" xfId="1483"/>
    <cellStyle name="Normal 6 4 2 3" xfId="1354"/>
    <cellStyle name="Normal 6 4 2 4" xfId="1355"/>
    <cellStyle name="Normal 6 4 2 5" xfId="1351"/>
    <cellStyle name="Normal 6 4 2 5 2" xfId="1482"/>
    <cellStyle name="Normal 6 4 2 6" xfId="1470"/>
    <cellStyle name="Normal 6 4 3" xfId="1356"/>
    <cellStyle name="Normal 60 2" xfId="1357"/>
    <cellStyle name="Normal 60 2 2" xfId="1358"/>
    <cellStyle name="Normal 7" xfId="1359"/>
    <cellStyle name="Normal 70" xfId="1360"/>
    <cellStyle name="Normal 8" xfId="1361"/>
    <cellStyle name="Normal 8 2" xfId="5"/>
    <cellStyle name="Normal 9" xfId="1362"/>
    <cellStyle name="Normal_Sheet3" xfId="1467"/>
    <cellStyle name="Note 10" xfId="1363"/>
    <cellStyle name="Note 11" xfId="1364"/>
    <cellStyle name="Note 12" xfId="1365"/>
    <cellStyle name="Note 13" xfId="1366"/>
    <cellStyle name="Note 14" xfId="1367"/>
    <cellStyle name="Note 15" xfId="1368"/>
    <cellStyle name="Note 16" xfId="1369"/>
    <cellStyle name="Note 2" xfId="1370"/>
    <cellStyle name="Note 3" xfId="1371"/>
    <cellStyle name="Note 4" xfId="1372"/>
    <cellStyle name="Note 5" xfId="1373"/>
    <cellStyle name="Note 6" xfId="1374"/>
    <cellStyle name="Note 7" xfId="1375"/>
    <cellStyle name="Note 8" xfId="1376"/>
    <cellStyle name="Note 9" xfId="1377"/>
    <cellStyle name="Output 10" xfId="1378"/>
    <cellStyle name="Output 11" xfId="1379"/>
    <cellStyle name="Output 12" xfId="1380"/>
    <cellStyle name="Output 13" xfId="1381"/>
    <cellStyle name="Output 14" xfId="1382"/>
    <cellStyle name="Output 15" xfId="1383"/>
    <cellStyle name="Output 16" xfId="1384"/>
    <cellStyle name="Output 2" xfId="1385"/>
    <cellStyle name="Output 3" xfId="1386"/>
    <cellStyle name="Output 4" xfId="1387"/>
    <cellStyle name="Output 5" xfId="1388"/>
    <cellStyle name="Output 6" xfId="1389"/>
    <cellStyle name="Output 7" xfId="1390"/>
    <cellStyle name="Output 8" xfId="1391"/>
    <cellStyle name="Output 9" xfId="1392"/>
    <cellStyle name="Percent" xfId="12" builtinId="5"/>
    <cellStyle name="Percent 2" xfId="1393"/>
    <cellStyle name="Percent 2 2" xfId="1394"/>
    <cellStyle name="Percent 3" xfId="1395"/>
    <cellStyle name="Percent 4" xfId="1396"/>
    <cellStyle name="Percent 5" xfId="1397"/>
    <cellStyle name="Percent 6" xfId="1398"/>
    <cellStyle name="Percent 6 2" xfId="1399"/>
    <cellStyle name="Title 10" xfId="1400"/>
    <cellStyle name="Title 11" xfId="1401"/>
    <cellStyle name="Title 12" xfId="1402"/>
    <cellStyle name="Title 13" xfId="1403"/>
    <cellStyle name="Title 14" xfId="1404"/>
    <cellStyle name="Title 15" xfId="1405"/>
    <cellStyle name="Title 16" xfId="1406"/>
    <cellStyle name="Title 2" xfId="1407"/>
    <cellStyle name="Title 3" xfId="1408"/>
    <cellStyle name="Title 4" xfId="1409"/>
    <cellStyle name="Title 5" xfId="1410"/>
    <cellStyle name="Title 6" xfId="1411"/>
    <cellStyle name="Title 7" xfId="1412"/>
    <cellStyle name="Title 8" xfId="1413"/>
    <cellStyle name="Title 9" xfId="1414"/>
    <cellStyle name="Total 10" xfId="1415"/>
    <cellStyle name="Total 10 2" xfId="1416"/>
    <cellStyle name="Total 11" xfId="1417"/>
    <cellStyle name="Total 11 2" xfId="1418"/>
    <cellStyle name="Total 12" xfId="1419"/>
    <cellStyle name="Total 12 2" xfId="1420"/>
    <cellStyle name="Total 13" xfId="1421"/>
    <cellStyle name="Total 13 2" xfId="1422"/>
    <cellStyle name="Total 14" xfId="1423"/>
    <cellStyle name="Total 14 2" xfId="1424"/>
    <cellStyle name="Total 15" xfId="1425"/>
    <cellStyle name="Total 15 2" xfId="1426"/>
    <cellStyle name="Total 16" xfId="1427"/>
    <cellStyle name="Total 2" xfId="1428"/>
    <cellStyle name="Total 2 2" xfId="1429"/>
    <cellStyle name="Total 3" xfId="1430"/>
    <cellStyle name="Total 3 2" xfId="1431"/>
    <cellStyle name="Total 4" xfId="1432"/>
    <cellStyle name="Total 4 2" xfId="1433"/>
    <cellStyle name="Total 5" xfId="1434"/>
    <cellStyle name="Total 5 2" xfId="1435"/>
    <cellStyle name="Total 6" xfId="1436"/>
    <cellStyle name="Total 6 2" xfId="1437"/>
    <cellStyle name="Total 7" xfId="1438"/>
    <cellStyle name="Total 7 2" xfId="1439"/>
    <cellStyle name="Total 8" xfId="1440"/>
    <cellStyle name="Total 8 2" xfId="1441"/>
    <cellStyle name="Total 9" xfId="1442"/>
    <cellStyle name="Total 9 2" xfId="1443"/>
    <cellStyle name="Warning Text 10" xfId="1444"/>
    <cellStyle name="Warning Text 11" xfId="1445"/>
    <cellStyle name="Warning Text 12" xfId="1446"/>
    <cellStyle name="Warning Text 13" xfId="1447"/>
    <cellStyle name="Warning Text 14" xfId="1448"/>
    <cellStyle name="Warning Text 15" xfId="1449"/>
    <cellStyle name="Warning Text 16" xfId="1450"/>
    <cellStyle name="Warning Text 2" xfId="1451"/>
    <cellStyle name="Warning Text 3" xfId="1452"/>
    <cellStyle name="Warning Text 4" xfId="1453"/>
    <cellStyle name="Warning Text 5" xfId="1454"/>
    <cellStyle name="Warning Text 6" xfId="1455"/>
    <cellStyle name="Warning Text 7" xfId="1456"/>
    <cellStyle name="Warning Text 8" xfId="1457"/>
    <cellStyle name="Warning Text 9" xfId="145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5"/>
  <sheetViews>
    <sheetView zoomScale="75" zoomScaleNormal="75" workbookViewId="0">
      <selection activeCell="P48" sqref="P48"/>
    </sheetView>
  </sheetViews>
  <sheetFormatPr defaultRowHeight="18.75"/>
  <cols>
    <col min="1" max="1" width="7.85546875" style="179" bestFit="1" customWidth="1"/>
    <col min="2" max="2" width="53.5703125" style="179" customWidth="1"/>
    <col min="3" max="4" width="19.85546875" style="179" customWidth="1"/>
    <col min="5" max="8" width="19.85546875" style="254" customWidth="1"/>
    <col min="9" max="10" width="24.42578125" style="254" customWidth="1"/>
    <col min="11" max="11" width="78.140625" style="254" customWidth="1"/>
    <col min="12" max="12" width="9.140625" style="179" customWidth="1"/>
    <col min="13" max="16384" width="9.140625" style="179"/>
  </cols>
  <sheetData>
    <row r="1" spans="1:11" ht="56.25">
      <c r="A1" s="174" t="s">
        <v>0</v>
      </c>
      <c r="B1" s="175" t="s">
        <v>1</v>
      </c>
      <c r="C1" s="175" t="s">
        <v>474</v>
      </c>
      <c r="D1" s="175" t="s">
        <v>469</v>
      </c>
      <c r="E1" s="175" t="s">
        <v>470</v>
      </c>
      <c r="F1" s="175" t="s">
        <v>471</v>
      </c>
      <c r="G1" s="175" t="s">
        <v>472</v>
      </c>
      <c r="H1" s="175" t="s">
        <v>473</v>
      </c>
      <c r="I1" s="176" t="s">
        <v>607</v>
      </c>
      <c r="J1" s="177" t="s">
        <v>608</v>
      </c>
      <c r="K1" s="178" t="s">
        <v>419</v>
      </c>
    </row>
    <row r="2" spans="1:11">
      <c r="A2" s="174">
        <v>1</v>
      </c>
      <c r="B2" s="175">
        <v>2</v>
      </c>
      <c r="C2" s="175">
        <v>3</v>
      </c>
      <c r="D2" s="175">
        <v>4</v>
      </c>
      <c r="E2" s="175">
        <v>5</v>
      </c>
      <c r="F2" s="175">
        <v>6</v>
      </c>
      <c r="G2" s="175">
        <v>7</v>
      </c>
      <c r="H2" s="175">
        <v>8</v>
      </c>
      <c r="I2" s="176">
        <v>9</v>
      </c>
      <c r="J2" s="180">
        <v>10</v>
      </c>
      <c r="K2" s="178">
        <v>11</v>
      </c>
    </row>
    <row r="3" spans="1:11" ht="37.5">
      <c r="A3" s="181" t="s">
        <v>2</v>
      </c>
      <c r="B3" s="182" t="s">
        <v>3</v>
      </c>
      <c r="C3" s="183">
        <f>C4+C22+C25+C29+C30+C31+C32+C33</f>
        <v>18654173</v>
      </c>
      <c r="D3" s="183">
        <f t="shared" ref="D3:H3" si="0">D4+D22+D25+D29+D30+D31+D32+D33</f>
        <v>19189201</v>
      </c>
      <c r="E3" s="183">
        <f t="shared" si="0"/>
        <v>4890072.1719806762</v>
      </c>
      <c r="F3" s="183">
        <f t="shared" si="0"/>
        <v>9633350.2062801924</v>
      </c>
      <c r="G3" s="183">
        <f t="shared" si="0"/>
        <v>14292015.839130435</v>
      </c>
      <c r="H3" s="183">
        <f t="shared" si="0"/>
        <v>19756030.199999996</v>
      </c>
      <c r="I3" s="184">
        <f t="shared" ref="I3:I66" si="1">H3-D3</f>
        <v>566829.19999999553</v>
      </c>
      <c r="J3" s="185">
        <f t="shared" ref="J3:J66" si="2">IFERROR(I3/ABS(D3), "-")</f>
        <v>2.9538968297846042E-2</v>
      </c>
      <c r="K3" s="186"/>
    </row>
    <row r="4" spans="1:11" s="189" customFormat="1" ht="19.5">
      <c r="A4" s="187" t="s">
        <v>119</v>
      </c>
      <c r="B4" s="188" t="s">
        <v>4</v>
      </c>
      <c r="C4" s="183">
        <f>C5+C10+C13+C16+C21</f>
        <v>15742560</v>
      </c>
      <c r="D4" s="183">
        <f t="shared" ref="D4:H4" si="3">D5+D10+D13+D16+D21</f>
        <v>16280993</v>
      </c>
      <c r="E4" s="183">
        <f t="shared" si="3"/>
        <v>4236227.1719806762</v>
      </c>
      <c r="F4" s="183">
        <f t="shared" si="3"/>
        <v>8390077.2062801924</v>
      </c>
      <c r="G4" s="183">
        <f t="shared" si="3"/>
        <v>12482298.839130435</v>
      </c>
      <c r="H4" s="183">
        <f t="shared" si="3"/>
        <v>17259325.999999996</v>
      </c>
      <c r="I4" s="184">
        <f t="shared" si="1"/>
        <v>978332.99999999627</v>
      </c>
      <c r="J4" s="185">
        <f t="shared" si="2"/>
        <v>6.009049939398637E-2</v>
      </c>
      <c r="K4" s="186"/>
    </row>
    <row r="5" spans="1:11" s="189" customFormat="1" ht="37.5">
      <c r="A5" s="187" t="s">
        <v>120</v>
      </c>
      <c r="B5" s="188" t="s">
        <v>121</v>
      </c>
      <c r="C5" s="183">
        <f>SUM(C6:C9)</f>
        <v>15115571</v>
      </c>
      <c r="D5" s="183">
        <f>SUM(D6:D9)</f>
        <v>15647431</v>
      </c>
      <c r="E5" s="183">
        <f t="shared" ref="E5:H5" si="4">SUM(E6:E9)</f>
        <v>4075239</v>
      </c>
      <c r="F5" s="183">
        <f>SUM(F6:F9)</f>
        <v>8060410</v>
      </c>
      <c r="G5" s="183">
        <f t="shared" si="4"/>
        <v>11994901</v>
      </c>
      <c r="H5" s="183">
        <f t="shared" si="4"/>
        <v>16584771.999999996</v>
      </c>
      <c r="I5" s="184">
        <f t="shared" si="1"/>
        <v>937340.99999999627</v>
      </c>
      <c r="J5" s="185">
        <f t="shared" si="2"/>
        <v>5.9903827024384786E-2</v>
      </c>
      <c r="K5" s="186"/>
    </row>
    <row r="6" spans="1:11">
      <c r="A6" s="190" t="s">
        <v>122</v>
      </c>
      <c r="B6" s="191" t="s">
        <v>5</v>
      </c>
      <c r="C6" s="10">
        <v>13847732</v>
      </c>
      <c r="D6" s="10">
        <v>14337245</v>
      </c>
      <c r="E6" s="10">
        <v>3737151</v>
      </c>
      <c r="F6" s="10">
        <v>7381693</v>
      </c>
      <c r="G6" s="10">
        <v>10976236</v>
      </c>
      <c r="H6" s="10">
        <v>15217292.999999996</v>
      </c>
      <c r="I6" s="192">
        <f t="shared" si="1"/>
        <v>880047.99999999627</v>
      </c>
      <c r="J6" s="193">
        <f t="shared" si="2"/>
        <v>6.138194611307795E-2</v>
      </c>
      <c r="K6" s="255" t="s">
        <v>610</v>
      </c>
    </row>
    <row r="7" spans="1:11" ht="37.5">
      <c r="A7" s="190" t="s">
        <v>123</v>
      </c>
      <c r="B7" s="191" t="s">
        <v>6</v>
      </c>
      <c r="C7" s="10">
        <v>81455</v>
      </c>
      <c r="D7" s="10">
        <v>61077</v>
      </c>
      <c r="E7" s="10">
        <v>13928</v>
      </c>
      <c r="F7" s="10">
        <v>27849</v>
      </c>
      <c r="G7" s="10">
        <v>39759</v>
      </c>
      <c r="H7" s="10">
        <v>60635</v>
      </c>
      <c r="I7" s="192">
        <f t="shared" si="1"/>
        <v>-442</v>
      </c>
      <c r="J7" s="193">
        <f t="shared" si="2"/>
        <v>-7.23676670432405E-3</v>
      </c>
      <c r="K7" s="378"/>
    </row>
    <row r="8" spans="1:11">
      <c r="A8" s="190" t="s">
        <v>124</v>
      </c>
      <c r="B8" s="191" t="s">
        <v>7</v>
      </c>
      <c r="C8" s="10">
        <v>1159122</v>
      </c>
      <c r="D8" s="10">
        <v>1223505</v>
      </c>
      <c r="E8" s="10">
        <v>318364</v>
      </c>
      <c r="F8" s="10">
        <v>638267</v>
      </c>
      <c r="G8" s="10">
        <v>959708</v>
      </c>
      <c r="H8" s="10">
        <v>1281661</v>
      </c>
      <c r="I8" s="192">
        <f t="shared" si="1"/>
        <v>58156</v>
      </c>
      <c r="J8" s="193">
        <f t="shared" si="2"/>
        <v>4.7532294514529977E-2</v>
      </c>
      <c r="K8" s="42"/>
    </row>
    <row r="9" spans="1:11" ht="37.5">
      <c r="A9" s="190" t="s">
        <v>125</v>
      </c>
      <c r="B9" s="191" t="s">
        <v>8</v>
      </c>
      <c r="C9" s="10">
        <v>27262</v>
      </c>
      <c r="D9" s="10">
        <v>25604</v>
      </c>
      <c r="E9" s="10">
        <v>5796</v>
      </c>
      <c r="F9" s="10">
        <v>12601</v>
      </c>
      <c r="G9" s="10">
        <v>19198</v>
      </c>
      <c r="H9" s="10">
        <v>25183</v>
      </c>
      <c r="I9" s="192">
        <f t="shared" si="1"/>
        <v>-421</v>
      </c>
      <c r="J9" s="193">
        <f t="shared" si="2"/>
        <v>-1.6442743321356038E-2</v>
      </c>
      <c r="K9" s="42"/>
    </row>
    <row r="10" spans="1:11" ht="19.5" hidden="1">
      <c r="A10" s="187" t="s">
        <v>126</v>
      </c>
      <c r="B10" s="188" t="s">
        <v>127</v>
      </c>
      <c r="C10" s="183">
        <f>SUM(C11:C12)</f>
        <v>0</v>
      </c>
      <c r="D10" s="183">
        <f t="shared" ref="D10:H10" si="5">SUM(D11:D12)</f>
        <v>0</v>
      </c>
      <c r="E10" s="183">
        <f t="shared" si="5"/>
        <v>0</v>
      </c>
      <c r="F10" s="183">
        <f t="shared" si="5"/>
        <v>0</v>
      </c>
      <c r="G10" s="183">
        <f t="shared" si="5"/>
        <v>0</v>
      </c>
      <c r="H10" s="183">
        <f t="shared" si="5"/>
        <v>0</v>
      </c>
      <c r="I10" s="184">
        <f t="shared" si="1"/>
        <v>0</v>
      </c>
      <c r="J10" s="185" t="str">
        <f t="shared" si="2"/>
        <v>-</v>
      </c>
      <c r="K10" s="186"/>
    </row>
    <row r="11" spans="1:11" hidden="1">
      <c r="A11" s="190" t="s">
        <v>128</v>
      </c>
      <c r="B11" s="191" t="s">
        <v>129</v>
      </c>
      <c r="C11" s="10"/>
      <c r="D11" s="10"/>
      <c r="E11" s="10"/>
      <c r="F11" s="10"/>
      <c r="G11" s="10"/>
      <c r="H11" s="10"/>
      <c r="I11" s="192">
        <f t="shared" si="1"/>
        <v>0</v>
      </c>
      <c r="J11" s="193" t="str">
        <f t="shared" si="2"/>
        <v>-</v>
      </c>
      <c r="K11" s="42"/>
    </row>
    <row r="12" spans="1:11" hidden="1">
      <c r="A12" s="190" t="s">
        <v>130</v>
      </c>
      <c r="B12" s="191" t="s">
        <v>131</v>
      </c>
      <c r="C12" s="10"/>
      <c r="D12" s="10"/>
      <c r="E12" s="10"/>
      <c r="F12" s="10"/>
      <c r="G12" s="10"/>
      <c r="H12" s="10"/>
      <c r="I12" s="192">
        <f t="shared" si="1"/>
        <v>0</v>
      </c>
      <c r="J12" s="193" t="str">
        <f t="shared" si="2"/>
        <v>-</v>
      </c>
      <c r="K12" s="42"/>
    </row>
    <row r="13" spans="1:11" ht="37.5">
      <c r="A13" s="187" t="s">
        <v>132</v>
      </c>
      <c r="B13" s="188" t="s">
        <v>133</v>
      </c>
      <c r="C13" s="183">
        <f>SUM(C14:C15)</f>
        <v>441920</v>
      </c>
      <c r="D13" s="183">
        <f t="shared" ref="D13:H13" si="6">SUM(D14:D15)</f>
        <v>467900</v>
      </c>
      <c r="E13" s="183">
        <f t="shared" si="6"/>
        <v>121998.8</v>
      </c>
      <c r="F13" s="183">
        <f t="shared" si="6"/>
        <v>247413.1</v>
      </c>
      <c r="G13" s="183">
        <f t="shared" si="6"/>
        <v>363276.10000000003</v>
      </c>
      <c r="H13" s="183">
        <f t="shared" si="6"/>
        <v>514690.00000000006</v>
      </c>
      <c r="I13" s="184">
        <f t="shared" si="1"/>
        <v>46790.000000000058</v>
      </c>
      <c r="J13" s="185">
        <f t="shared" si="2"/>
        <v>0.10000000000000013</v>
      </c>
      <c r="K13" s="186"/>
    </row>
    <row r="14" spans="1:11">
      <c r="A14" s="190" t="s">
        <v>134</v>
      </c>
      <c r="B14" s="191" t="s">
        <v>135</v>
      </c>
      <c r="C14" s="10">
        <v>441920</v>
      </c>
      <c r="D14" s="10">
        <v>467900</v>
      </c>
      <c r="E14" s="10">
        <f>110908*1.1</f>
        <v>121998.8</v>
      </c>
      <c r="F14" s="10">
        <f>224921*1.1</f>
        <v>247413.1</v>
      </c>
      <c r="G14" s="10">
        <f>330251*1.1</f>
        <v>363276.10000000003</v>
      </c>
      <c r="H14" s="10">
        <f>467900*1.1</f>
        <v>514690.00000000006</v>
      </c>
      <c r="I14" s="192">
        <f t="shared" si="1"/>
        <v>46790.000000000058</v>
      </c>
      <c r="J14" s="193">
        <f t="shared" si="2"/>
        <v>0.10000000000000013</v>
      </c>
      <c r="K14" s="255" t="s">
        <v>612</v>
      </c>
    </row>
    <row r="15" spans="1:11" ht="37.5" hidden="1">
      <c r="A15" s="190" t="s">
        <v>136</v>
      </c>
      <c r="B15" s="191" t="s">
        <v>420</v>
      </c>
      <c r="C15" s="10"/>
      <c r="D15" s="10"/>
      <c r="E15" s="10"/>
      <c r="F15" s="10"/>
      <c r="G15" s="10"/>
      <c r="H15" s="10"/>
      <c r="I15" s="192">
        <f t="shared" si="1"/>
        <v>0</v>
      </c>
      <c r="J15" s="193" t="str">
        <f t="shared" si="2"/>
        <v>-</v>
      </c>
      <c r="K15" s="42"/>
    </row>
    <row r="16" spans="1:11" ht="19.5">
      <c r="A16" s="187" t="s">
        <v>137</v>
      </c>
      <c r="B16" s="188" t="s">
        <v>108</v>
      </c>
      <c r="C16" s="183">
        <f>SUM(C17:C20)</f>
        <v>185069</v>
      </c>
      <c r="D16" s="183">
        <f t="shared" ref="D16:H16" si="7">SUM(D17:D20)</f>
        <v>165662</v>
      </c>
      <c r="E16" s="183">
        <f t="shared" si="7"/>
        <v>38989.371980676333</v>
      </c>
      <c r="F16" s="183">
        <f t="shared" si="7"/>
        <v>82254.106280193242</v>
      </c>
      <c r="G16" s="183">
        <f t="shared" si="7"/>
        <v>124121.7391304348</v>
      </c>
      <c r="H16" s="183">
        <f t="shared" si="7"/>
        <v>159864</v>
      </c>
      <c r="I16" s="184">
        <f t="shared" si="1"/>
        <v>-5798</v>
      </c>
      <c r="J16" s="185">
        <f t="shared" si="2"/>
        <v>-3.4998973814151707E-2</v>
      </c>
      <c r="K16" s="186"/>
    </row>
    <row r="17" spans="1:11">
      <c r="A17" s="190" t="s">
        <v>138</v>
      </c>
      <c r="B17" s="191" t="s">
        <v>9</v>
      </c>
      <c r="C17" s="10"/>
      <c r="D17" s="10"/>
      <c r="E17" s="10"/>
      <c r="F17" s="10"/>
      <c r="G17" s="10"/>
      <c r="H17" s="10"/>
      <c r="I17" s="192">
        <f t="shared" si="1"/>
        <v>0</v>
      </c>
      <c r="J17" s="193" t="str">
        <f t="shared" si="2"/>
        <v>-</v>
      </c>
      <c r="K17" s="42"/>
    </row>
    <row r="18" spans="1:11" ht="37.5">
      <c r="A18" s="190" t="s">
        <v>139</v>
      </c>
      <c r="B18" s="194" t="s">
        <v>10</v>
      </c>
      <c r="C18" s="195">
        <v>185069</v>
      </c>
      <c r="D18" s="195">
        <v>165662</v>
      </c>
      <c r="E18" s="10">
        <f>40354/1.035</f>
        <v>38989.371980676333</v>
      </c>
      <c r="F18" s="10">
        <f>85133/1.035</f>
        <v>82254.106280193242</v>
      </c>
      <c r="G18" s="10">
        <f>128466/1.035</f>
        <v>124121.7391304348</v>
      </c>
      <c r="H18" s="195">
        <v>159864</v>
      </c>
      <c r="I18" s="192">
        <f t="shared" si="1"/>
        <v>-5798</v>
      </c>
      <c r="J18" s="193">
        <f t="shared" si="2"/>
        <v>-3.4998973814151707E-2</v>
      </c>
      <c r="K18" s="42"/>
    </row>
    <row r="19" spans="1:11" ht="37.5" hidden="1">
      <c r="A19" s="190" t="s">
        <v>140</v>
      </c>
      <c r="B19" s="191" t="s">
        <v>12</v>
      </c>
      <c r="C19" s="10"/>
      <c r="D19" s="10"/>
      <c r="E19" s="10"/>
      <c r="F19" s="10"/>
      <c r="G19" s="10"/>
      <c r="H19" s="10"/>
      <c r="I19" s="192">
        <f t="shared" si="1"/>
        <v>0</v>
      </c>
      <c r="J19" s="193" t="str">
        <f t="shared" si="2"/>
        <v>-</v>
      </c>
      <c r="K19" s="42"/>
    </row>
    <row r="20" spans="1:11" hidden="1">
      <c r="A20" s="190" t="s">
        <v>141</v>
      </c>
      <c r="B20" s="191" t="s">
        <v>13</v>
      </c>
      <c r="C20" s="10"/>
      <c r="D20" s="10"/>
      <c r="E20" s="10"/>
      <c r="F20" s="10"/>
      <c r="G20" s="10"/>
      <c r="H20" s="10"/>
      <c r="I20" s="192">
        <f t="shared" si="1"/>
        <v>0</v>
      </c>
      <c r="J20" s="193" t="str">
        <f t="shared" si="2"/>
        <v>-</v>
      </c>
      <c r="K20" s="42"/>
    </row>
    <row r="21" spans="1:11" ht="37.5" hidden="1">
      <c r="A21" s="187" t="s">
        <v>414</v>
      </c>
      <c r="B21" s="188" t="s">
        <v>415</v>
      </c>
      <c r="C21" s="11"/>
      <c r="D21" s="11"/>
      <c r="E21" s="11"/>
      <c r="F21" s="11"/>
      <c r="G21" s="11"/>
      <c r="H21" s="11"/>
      <c r="I21" s="184">
        <f t="shared" si="1"/>
        <v>0</v>
      </c>
      <c r="J21" s="185" t="str">
        <f t="shared" si="2"/>
        <v>-</v>
      </c>
      <c r="K21" s="41"/>
    </row>
    <row r="22" spans="1:11" s="189" customFormat="1" ht="19.5" hidden="1">
      <c r="A22" s="187" t="s">
        <v>142</v>
      </c>
      <c r="B22" s="188" t="s">
        <v>14</v>
      </c>
      <c r="C22" s="183">
        <f>SUM(C23:C24)</f>
        <v>0</v>
      </c>
      <c r="D22" s="183">
        <f t="shared" ref="D22:H22" si="8">SUM(D23:D24)</f>
        <v>0</v>
      </c>
      <c r="E22" s="183">
        <f t="shared" si="8"/>
        <v>0</v>
      </c>
      <c r="F22" s="183">
        <f t="shared" si="8"/>
        <v>0</v>
      </c>
      <c r="G22" s="183">
        <f t="shared" si="8"/>
        <v>0</v>
      </c>
      <c r="H22" s="183">
        <f t="shared" si="8"/>
        <v>0</v>
      </c>
      <c r="I22" s="184">
        <f t="shared" si="1"/>
        <v>0</v>
      </c>
      <c r="J22" s="185" t="str">
        <f t="shared" si="2"/>
        <v>-</v>
      </c>
      <c r="K22" s="186"/>
    </row>
    <row r="23" spans="1:11" hidden="1">
      <c r="A23" s="190" t="s">
        <v>143</v>
      </c>
      <c r="B23" s="191" t="s">
        <v>417</v>
      </c>
      <c r="C23" s="10"/>
      <c r="D23" s="10"/>
      <c r="E23" s="10"/>
      <c r="F23" s="10"/>
      <c r="G23" s="10"/>
      <c r="H23" s="10"/>
      <c r="I23" s="192">
        <f t="shared" si="1"/>
        <v>0</v>
      </c>
      <c r="J23" s="193" t="str">
        <f t="shared" si="2"/>
        <v>-</v>
      </c>
      <c r="K23" s="42"/>
    </row>
    <row r="24" spans="1:11" hidden="1">
      <c r="A24" s="190" t="s">
        <v>416</v>
      </c>
      <c r="B24" s="191" t="s">
        <v>418</v>
      </c>
      <c r="C24" s="10"/>
      <c r="D24" s="10"/>
      <c r="E24" s="10"/>
      <c r="F24" s="10"/>
      <c r="G24" s="10"/>
      <c r="H24" s="10"/>
      <c r="I24" s="192">
        <f t="shared" si="1"/>
        <v>0</v>
      </c>
      <c r="J24" s="193" t="str">
        <f t="shared" si="2"/>
        <v>-</v>
      </c>
      <c r="K24" s="42"/>
    </row>
    <row r="25" spans="1:11" s="189" customFormat="1" ht="19.5">
      <c r="A25" s="187" t="s">
        <v>144</v>
      </c>
      <c r="B25" s="188" t="s">
        <v>15</v>
      </c>
      <c r="C25" s="183">
        <f>SUM(C26:C28)</f>
        <v>1752912.5</v>
      </c>
      <c r="D25" s="183">
        <f t="shared" ref="D25:H25" si="9">SUM(D26:D28)</f>
        <v>1716563</v>
      </c>
      <c r="E25" s="183">
        <f t="shared" si="9"/>
        <v>379885</v>
      </c>
      <c r="F25" s="183">
        <f t="shared" si="9"/>
        <v>712917</v>
      </c>
      <c r="G25" s="183">
        <f t="shared" si="9"/>
        <v>1034455</v>
      </c>
      <c r="H25" s="183">
        <f t="shared" si="9"/>
        <v>1394555</v>
      </c>
      <c r="I25" s="184">
        <f t="shared" si="1"/>
        <v>-322008</v>
      </c>
      <c r="J25" s="185">
        <f t="shared" si="2"/>
        <v>-0.18758880390641067</v>
      </c>
      <c r="K25" s="186"/>
    </row>
    <row r="26" spans="1:11" ht="56.25">
      <c r="A26" s="190" t="s">
        <v>291</v>
      </c>
      <c r="B26" s="191" t="s">
        <v>145</v>
      </c>
      <c r="C26" s="10">
        <v>1488628</v>
      </c>
      <c r="D26" s="10">
        <v>1456753</v>
      </c>
      <c r="E26" s="10">
        <f>328962-20000</f>
        <v>308962</v>
      </c>
      <c r="F26" s="10">
        <f>624476-40000</f>
        <v>584476</v>
      </c>
      <c r="G26" s="10">
        <f>917521-60000</f>
        <v>857521</v>
      </c>
      <c r="H26" s="10">
        <f>1238240-80000</f>
        <v>1158240</v>
      </c>
      <c r="I26" s="192">
        <f t="shared" si="1"/>
        <v>-298513</v>
      </c>
      <c r="J26" s="193">
        <f t="shared" si="2"/>
        <v>-0.20491668800407481</v>
      </c>
      <c r="K26" s="255" t="s">
        <v>611</v>
      </c>
    </row>
    <row r="27" spans="1:11">
      <c r="A27" s="190" t="s">
        <v>292</v>
      </c>
      <c r="B27" s="191" t="s">
        <v>146</v>
      </c>
      <c r="C27" s="10"/>
      <c r="D27" s="10"/>
      <c r="E27" s="10"/>
      <c r="F27" s="10"/>
      <c r="G27" s="10"/>
      <c r="H27" s="10"/>
      <c r="I27" s="192">
        <f t="shared" si="1"/>
        <v>0</v>
      </c>
      <c r="J27" s="193" t="str">
        <f t="shared" si="2"/>
        <v>-</v>
      </c>
      <c r="K27" s="42"/>
    </row>
    <row r="28" spans="1:11" ht="56.25">
      <c r="A28" s="190" t="s">
        <v>147</v>
      </c>
      <c r="B28" s="191" t="s">
        <v>16</v>
      </c>
      <c r="C28" s="10">
        <v>264284.5</v>
      </c>
      <c r="D28" s="10">
        <v>259810</v>
      </c>
      <c r="E28" s="10">
        <f>71391-468</f>
        <v>70923</v>
      </c>
      <c r="F28" s="10">
        <f>132466-936-3089</f>
        <v>128441</v>
      </c>
      <c r="G28" s="10">
        <f>190694-1404-12356</f>
        <v>176934</v>
      </c>
      <c r="H28" s="10">
        <f>259810-1872-21623</f>
        <v>236315</v>
      </c>
      <c r="I28" s="192">
        <f t="shared" si="1"/>
        <v>-23495</v>
      </c>
      <c r="J28" s="193">
        <f t="shared" si="2"/>
        <v>-9.0431469150533086E-2</v>
      </c>
      <c r="K28" s="255" t="s">
        <v>613</v>
      </c>
    </row>
    <row r="29" spans="1:11" ht="56.25">
      <c r="A29" s="196" t="s">
        <v>150</v>
      </c>
      <c r="B29" s="197" t="s">
        <v>17</v>
      </c>
      <c r="C29" s="12">
        <v>406004</v>
      </c>
      <c r="D29" s="12">
        <v>394592</v>
      </c>
      <c r="E29" s="12">
        <v>97960</v>
      </c>
      <c r="F29" s="12">
        <v>185972</v>
      </c>
      <c r="G29" s="12">
        <v>265340</v>
      </c>
      <c r="H29" s="12">
        <v>355133</v>
      </c>
      <c r="I29" s="198">
        <f t="shared" si="1"/>
        <v>-39459</v>
      </c>
      <c r="J29" s="199">
        <f t="shared" si="2"/>
        <v>-9.9999493147352209E-2</v>
      </c>
      <c r="K29" s="255" t="s">
        <v>609</v>
      </c>
    </row>
    <row r="30" spans="1:11" ht="37.5">
      <c r="A30" s="196" t="s">
        <v>151</v>
      </c>
      <c r="B30" s="197" t="s">
        <v>18</v>
      </c>
      <c r="C30" s="12">
        <v>362541</v>
      </c>
      <c r="D30" s="12">
        <v>352247</v>
      </c>
      <c r="E30" s="12">
        <v>80242</v>
      </c>
      <c r="F30" s="12">
        <v>159388</v>
      </c>
      <c r="G30" s="12">
        <v>241708</v>
      </c>
      <c r="H30" s="12">
        <v>317022</v>
      </c>
      <c r="I30" s="198">
        <f t="shared" si="1"/>
        <v>-35225</v>
      </c>
      <c r="J30" s="199">
        <f t="shared" si="2"/>
        <v>-0.10000085167510298</v>
      </c>
      <c r="K30" s="255" t="s">
        <v>653</v>
      </c>
    </row>
    <row r="31" spans="1:11" ht="19.5">
      <c r="A31" s="196" t="s">
        <v>152</v>
      </c>
      <c r="B31" s="197" t="s">
        <v>19</v>
      </c>
      <c r="C31" s="12"/>
      <c r="D31" s="12"/>
      <c r="E31" s="12"/>
      <c r="F31" s="12"/>
      <c r="G31" s="12"/>
      <c r="H31" s="12"/>
      <c r="I31" s="198">
        <f t="shared" si="1"/>
        <v>0</v>
      </c>
      <c r="J31" s="199" t="str">
        <f t="shared" si="2"/>
        <v>-</v>
      </c>
      <c r="K31" s="43"/>
    </row>
    <row r="32" spans="1:11" s="201" customFormat="1" ht="56.25">
      <c r="A32" s="196" t="s">
        <v>153</v>
      </c>
      <c r="B32" s="200" t="s">
        <v>20</v>
      </c>
      <c r="C32" s="14">
        <v>175148</v>
      </c>
      <c r="D32" s="14">
        <v>175086</v>
      </c>
      <c r="E32" s="12">
        <v>44656</v>
      </c>
      <c r="F32" s="12">
        <v>83688</v>
      </c>
      <c r="G32" s="12">
        <v>119149</v>
      </c>
      <c r="H32" s="12">
        <v>157577</v>
      </c>
      <c r="I32" s="198">
        <f t="shared" si="1"/>
        <v>-17509</v>
      </c>
      <c r="J32" s="199">
        <f t="shared" si="2"/>
        <v>-0.10000228459157214</v>
      </c>
      <c r="K32" s="255" t="s">
        <v>609</v>
      </c>
    </row>
    <row r="33" spans="1:11" s="201" customFormat="1" ht="37.5">
      <c r="A33" s="202" t="s">
        <v>154</v>
      </c>
      <c r="B33" s="203" t="s">
        <v>334</v>
      </c>
      <c r="C33" s="204">
        <v>215007.5</v>
      </c>
      <c r="D33" s="204">
        <v>269720</v>
      </c>
      <c r="E33" s="205">
        <f>51102</f>
        <v>51102</v>
      </c>
      <c r="F33" s="205">
        <v>101308</v>
      </c>
      <c r="G33" s="205">
        <v>149065</v>
      </c>
      <c r="H33" s="205">
        <f>269720*1.01</f>
        <v>272417.2</v>
      </c>
      <c r="I33" s="206">
        <f t="shared" si="1"/>
        <v>2697.2000000000116</v>
      </c>
      <c r="J33" s="207">
        <f t="shared" si="2"/>
        <v>1.0000000000000044E-2</v>
      </c>
      <c r="K33" s="208"/>
    </row>
    <row r="34" spans="1:11" ht="37.5">
      <c r="A34" s="181" t="s">
        <v>21</v>
      </c>
      <c r="B34" s="182" t="s">
        <v>344</v>
      </c>
      <c r="C34" s="183">
        <f>C35+C59+C150</f>
        <v>17785965</v>
      </c>
      <c r="D34" s="183">
        <f t="shared" ref="D34:H34" si="10">D35+D59+D150</f>
        <v>17553504</v>
      </c>
      <c r="E34" s="183">
        <f t="shared" si="10"/>
        <v>4546857</v>
      </c>
      <c r="F34" s="183">
        <f t="shared" si="10"/>
        <v>9128777.4000000004</v>
      </c>
      <c r="G34" s="183">
        <f t="shared" si="10"/>
        <v>13608671.4</v>
      </c>
      <c r="H34" s="183">
        <f t="shared" si="10"/>
        <v>18195167.199999999</v>
      </c>
      <c r="I34" s="184">
        <f t="shared" si="1"/>
        <v>641663.19999999925</v>
      </c>
      <c r="J34" s="185">
        <f t="shared" si="2"/>
        <v>3.6554707253890692E-2</v>
      </c>
      <c r="K34" s="186"/>
    </row>
    <row r="35" spans="1:11" s="189" customFormat="1" ht="19.5">
      <c r="A35" s="181" t="s">
        <v>22</v>
      </c>
      <c r="B35" s="188" t="s">
        <v>23</v>
      </c>
      <c r="C35" s="183">
        <f>C36+C51</f>
        <v>9609773</v>
      </c>
      <c r="D35" s="183">
        <f t="shared" ref="D35:H35" si="11">D36+D51</f>
        <v>9813570</v>
      </c>
      <c r="E35" s="183">
        <f t="shared" si="11"/>
        <v>2500735</v>
      </c>
      <c r="F35" s="183">
        <f t="shared" si="11"/>
        <v>5258368</v>
      </c>
      <c r="G35" s="183">
        <f t="shared" si="11"/>
        <v>7886380</v>
      </c>
      <c r="H35" s="183">
        <f t="shared" si="11"/>
        <v>10628249</v>
      </c>
      <c r="I35" s="184">
        <f t="shared" si="1"/>
        <v>814679</v>
      </c>
      <c r="J35" s="185">
        <f t="shared" si="2"/>
        <v>8.3015559067699113E-2</v>
      </c>
      <c r="K35" s="186"/>
    </row>
    <row r="36" spans="1:11" s="189" customFormat="1" ht="19.5">
      <c r="A36" s="181">
        <v>1100</v>
      </c>
      <c r="B36" s="209" t="s">
        <v>24</v>
      </c>
      <c r="C36" s="210">
        <f>C37+C40+C50+C49</f>
        <v>7672806</v>
      </c>
      <c r="D36" s="210">
        <f t="shared" ref="D36:G36" si="12">D37+D40+D50+D49</f>
        <v>7863531</v>
      </c>
      <c r="E36" s="210">
        <f t="shared" si="12"/>
        <v>1990203</v>
      </c>
      <c r="F36" s="210">
        <f t="shared" si="12"/>
        <v>4204862</v>
      </c>
      <c r="G36" s="210">
        <f t="shared" si="12"/>
        <v>6308695</v>
      </c>
      <c r="H36" s="183">
        <f>H37+H40+H50+H49</f>
        <v>8507297</v>
      </c>
      <c r="I36" s="184">
        <f t="shared" si="1"/>
        <v>643766</v>
      </c>
      <c r="J36" s="185">
        <f t="shared" si="2"/>
        <v>8.1867293458879983E-2</v>
      </c>
      <c r="K36" s="186"/>
    </row>
    <row r="37" spans="1:11">
      <c r="A37" s="211">
        <v>1110</v>
      </c>
      <c r="B37" s="212" t="s">
        <v>25</v>
      </c>
      <c r="C37" s="213">
        <f>SUM(C38:C39)</f>
        <v>5548202</v>
      </c>
      <c r="D37" s="213">
        <f>SUM(D38:D39)</f>
        <v>5672951</v>
      </c>
      <c r="E37" s="213">
        <f t="shared" ref="E37:H37" si="13">SUM(E38:E39)</f>
        <v>1466979</v>
      </c>
      <c r="F37" s="213">
        <f t="shared" si="13"/>
        <v>3078866</v>
      </c>
      <c r="G37" s="213">
        <f t="shared" si="13"/>
        <v>4663603</v>
      </c>
      <c r="H37" s="213">
        <f t="shared" si="13"/>
        <v>6177443</v>
      </c>
      <c r="I37" s="192">
        <f t="shared" si="1"/>
        <v>504492</v>
      </c>
      <c r="J37" s="193">
        <f t="shared" si="2"/>
        <v>8.8929377320551506E-2</v>
      </c>
      <c r="K37" s="375" t="s">
        <v>652</v>
      </c>
    </row>
    <row r="38" spans="1:11">
      <c r="A38" s="214">
        <v>1111</v>
      </c>
      <c r="B38" s="215" t="s">
        <v>328</v>
      </c>
      <c r="C38" s="15">
        <v>98473</v>
      </c>
      <c r="D38" s="15">
        <v>104400</v>
      </c>
      <c r="E38" s="10">
        <v>27320</v>
      </c>
      <c r="F38" s="10">
        <v>54465</v>
      </c>
      <c r="G38" s="10">
        <v>81665</v>
      </c>
      <c r="H38" s="10">
        <v>109090</v>
      </c>
      <c r="I38" s="192">
        <f t="shared" si="1"/>
        <v>4690</v>
      </c>
      <c r="J38" s="193">
        <f t="shared" si="2"/>
        <v>4.4923371647509577E-2</v>
      </c>
      <c r="K38" s="42"/>
    </row>
    <row r="39" spans="1:11">
      <c r="A39" s="214">
        <v>1112</v>
      </c>
      <c r="B39" s="215" t="s">
        <v>329</v>
      </c>
      <c r="C39" s="15">
        <v>5449729</v>
      </c>
      <c r="D39" s="15">
        <v>5568551</v>
      </c>
      <c r="E39" s="10">
        <v>1439659</v>
      </c>
      <c r="F39" s="10">
        <v>3024401</v>
      </c>
      <c r="G39" s="10">
        <v>4581938</v>
      </c>
      <c r="H39" s="10">
        <v>6068353</v>
      </c>
      <c r="I39" s="192">
        <f t="shared" si="1"/>
        <v>499802</v>
      </c>
      <c r="J39" s="193">
        <f t="shared" si="2"/>
        <v>8.9754408283232029E-2</v>
      </c>
      <c r="K39" s="255" t="s">
        <v>652</v>
      </c>
    </row>
    <row r="40" spans="1:11" s="189" customFormat="1" ht="19.5">
      <c r="A40" s="181">
        <v>1140</v>
      </c>
      <c r="B40" s="216" t="s">
        <v>155</v>
      </c>
      <c r="C40" s="210">
        <f>SUM(C41:C48)</f>
        <v>2044795</v>
      </c>
      <c r="D40" s="210">
        <f t="shared" ref="D40:H40" si="14">SUM(D41:D48)</f>
        <v>2133146</v>
      </c>
      <c r="E40" s="210">
        <f t="shared" si="14"/>
        <v>509185</v>
      </c>
      <c r="F40" s="210">
        <f t="shared" si="14"/>
        <v>1085154</v>
      </c>
      <c r="G40" s="210">
        <f t="shared" si="14"/>
        <v>1592136</v>
      </c>
      <c r="H40" s="210">
        <f t="shared" si="14"/>
        <v>2272256</v>
      </c>
      <c r="I40" s="184">
        <f t="shared" si="1"/>
        <v>139110</v>
      </c>
      <c r="J40" s="185">
        <f t="shared" si="2"/>
        <v>6.5213539063899054E-2</v>
      </c>
      <c r="K40" s="186"/>
    </row>
    <row r="41" spans="1:11" s="189" customFormat="1">
      <c r="A41" s="214">
        <v>1141</v>
      </c>
      <c r="B41" s="217" t="s">
        <v>148</v>
      </c>
      <c r="C41" s="15">
        <v>389806</v>
      </c>
      <c r="D41" s="15">
        <v>359705</v>
      </c>
      <c r="E41" s="10">
        <v>98039</v>
      </c>
      <c r="F41" s="10">
        <v>204690</v>
      </c>
      <c r="G41" s="10">
        <v>285875</v>
      </c>
      <c r="H41" s="10">
        <v>390199</v>
      </c>
      <c r="I41" s="192">
        <f t="shared" si="1"/>
        <v>30494</v>
      </c>
      <c r="J41" s="193">
        <f t="shared" si="2"/>
        <v>8.4775023977981964E-2</v>
      </c>
      <c r="K41" s="255" t="s">
        <v>652</v>
      </c>
    </row>
    <row r="42" spans="1:11" s="189" customFormat="1" ht="37.5">
      <c r="A42" s="214">
        <v>1142</v>
      </c>
      <c r="B42" s="217" t="s">
        <v>26</v>
      </c>
      <c r="C42" s="15">
        <v>407840</v>
      </c>
      <c r="D42" s="15">
        <v>438324</v>
      </c>
      <c r="E42" s="10">
        <v>99126</v>
      </c>
      <c r="F42" s="10">
        <v>240644</v>
      </c>
      <c r="G42" s="10">
        <v>355911</v>
      </c>
      <c r="H42" s="10">
        <v>477373</v>
      </c>
      <c r="I42" s="192">
        <f t="shared" si="1"/>
        <v>39049</v>
      </c>
      <c r="J42" s="193">
        <f t="shared" si="2"/>
        <v>8.9087068013615503E-2</v>
      </c>
      <c r="K42" s="255" t="s">
        <v>652</v>
      </c>
    </row>
    <row r="43" spans="1:11" s="189" customFormat="1">
      <c r="A43" s="214">
        <v>1144</v>
      </c>
      <c r="B43" s="217" t="s">
        <v>27</v>
      </c>
      <c r="C43" s="15"/>
      <c r="D43" s="15"/>
      <c r="E43" s="10">
        <v>0</v>
      </c>
      <c r="F43" s="10">
        <v>0</v>
      </c>
      <c r="G43" s="10">
        <v>0</v>
      </c>
      <c r="H43" s="10">
        <v>0</v>
      </c>
      <c r="I43" s="192">
        <f t="shared" si="1"/>
        <v>0</v>
      </c>
      <c r="J43" s="193" t="str">
        <f t="shared" si="2"/>
        <v>-</v>
      </c>
      <c r="K43" s="42"/>
    </row>
    <row r="44" spans="1:11" s="189" customFormat="1" ht="37.5">
      <c r="A44" s="214">
        <v>1145</v>
      </c>
      <c r="B44" s="217" t="s">
        <v>156</v>
      </c>
      <c r="C44" s="15">
        <v>970729</v>
      </c>
      <c r="D44" s="15">
        <v>1008501</v>
      </c>
      <c r="E44" s="10">
        <v>250450</v>
      </c>
      <c r="F44" s="10">
        <v>516487</v>
      </c>
      <c r="G44" s="10">
        <v>772267</v>
      </c>
      <c r="H44" s="10">
        <v>1066675</v>
      </c>
      <c r="I44" s="192">
        <f t="shared" si="1"/>
        <v>58174</v>
      </c>
      <c r="J44" s="193">
        <f t="shared" si="2"/>
        <v>5.7683631449051614E-2</v>
      </c>
      <c r="K44" s="255" t="s">
        <v>652</v>
      </c>
    </row>
    <row r="45" spans="1:11" s="189" customFormat="1" ht="37.5">
      <c r="A45" s="214">
        <v>1146</v>
      </c>
      <c r="B45" s="217" t="s">
        <v>28</v>
      </c>
      <c r="C45" s="15">
        <v>50508</v>
      </c>
      <c r="D45" s="15">
        <v>49049</v>
      </c>
      <c r="E45" s="10">
        <v>12546</v>
      </c>
      <c r="F45" s="10">
        <v>24663</v>
      </c>
      <c r="G45" s="10">
        <v>35623</v>
      </c>
      <c r="H45" s="10">
        <v>51948</v>
      </c>
      <c r="I45" s="192">
        <f t="shared" si="1"/>
        <v>2899</v>
      </c>
      <c r="J45" s="193">
        <f t="shared" si="2"/>
        <v>5.910416114497747E-2</v>
      </c>
      <c r="K45" s="255" t="s">
        <v>652</v>
      </c>
    </row>
    <row r="46" spans="1:11" s="189" customFormat="1">
      <c r="A46" s="214">
        <v>1147</v>
      </c>
      <c r="B46" s="217" t="s">
        <v>29</v>
      </c>
      <c r="C46" s="15">
        <v>76523</v>
      </c>
      <c r="D46" s="15">
        <v>69165</v>
      </c>
      <c r="E46" s="10">
        <v>19069</v>
      </c>
      <c r="F46" s="10">
        <v>38230</v>
      </c>
      <c r="G46" s="10">
        <v>54159</v>
      </c>
      <c r="H46" s="10">
        <v>75481</v>
      </c>
      <c r="I46" s="192">
        <f t="shared" si="1"/>
        <v>6316</v>
      </c>
      <c r="J46" s="193">
        <f t="shared" si="2"/>
        <v>9.1317863081038092E-2</v>
      </c>
      <c r="K46" s="255" t="s">
        <v>652</v>
      </c>
    </row>
    <row r="47" spans="1:11" s="189" customFormat="1">
      <c r="A47" s="214">
        <v>1148</v>
      </c>
      <c r="B47" s="217" t="s">
        <v>157</v>
      </c>
      <c r="C47" s="15">
        <v>22910</v>
      </c>
      <c r="D47" s="15">
        <v>84865</v>
      </c>
      <c r="E47" s="10">
        <v>0</v>
      </c>
      <c r="F47" s="10">
        <v>0</v>
      </c>
      <c r="G47" s="10">
        <v>0</v>
      </c>
      <c r="H47" s="10">
        <v>84865</v>
      </c>
      <c r="I47" s="192">
        <f t="shared" si="1"/>
        <v>0</v>
      </c>
      <c r="J47" s="193">
        <f t="shared" si="2"/>
        <v>0</v>
      </c>
      <c r="K47" s="42"/>
    </row>
    <row r="48" spans="1:11" s="189" customFormat="1" ht="37.5">
      <c r="A48" s="214">
        <v>1149</v>
      </c>
      <c r="B48" s="217" t="s">
        <v>30</v>
      </c>
      <c r="C48" s="15">
        <v>126479</v>
      </c>
      <c r="D48" s="15">
        <v>123537</v>
      </c>
      <c r="E48" s="195">
        <v>29955</v>
      </c>
      <c r="F48" s="195">
        <v>60440</v>
      </c>
      <c r="G48" s="195">
        <v>88301</v>
      </c>
      <c r="H48" s="195">
        <v>125715</v>
      </c>
      <c r="I48" s="178">
        <f t="shared" si="1"/>
        <v>2178</v>
      </c>
      <c r="J48" s="218">
        <f t="shared" si="2"/>
        <v>1.7630345564486755E-2</v>
      </c>
      <c r="K48" s="219"/>
    </row>
    <row r="49" spans="1:11" s="189" customFormat="1" ht="56.25">
      <c r="A49" s="211">
        <v>1150</v>
      </c>
      <c r="B49" s="220" t="s">
        <v>31</v>
      </c>
      <c r="C49" s="16">
        <v>79809</v>
      </c>
      <c r="D49" s="16">
        <v>57434</v>
      </c>
      <c r="E49" s="10">
        <v>14039</v>
      </c>
      <c r="F49" s="10">
        <v>40842</v>
      </c>
      <c r="G49" s="10">
        <v>52956</v>
      </c>
      <c r="H49" s="10">
        <v>57598</v>
      </c>
      <c r="I49" s="192">
        <f t="shared" si="1"/>
        <v>164</v>
      </c>
      <c r="J49" s="193">
        <f t="shared" si="2"/>
        <v>2.8554514747362188E-3</v>
      </c>
      <c r="K49" s="42"/>
    </row>
    <row r="50" spans="1:11" s="189" customFormat="1" ht="19.5">
      <c r="A50" s="211">
        <v>1170</v>
      </c>
      <c r="B50" s="221" t="s">
        <v>32</v>
      </c>
      <c r="C50" s="16"/>
      <c r="D50" s="16"/>
      <c r="E50" s="12">
        <v>0</v>
      </c>
      <c r="F50" s="12">
        <v>0</v>
      </c>
      <c r="G50" s="12"/>
      <c r="H50" s="12"/>
      <c r="I50" s="198">
        <f t="shared" si="1"/>
        <v>0</v>
      </c>
      <c r="J50" s="199" t="str">
        <f t="shared" si="2"/>
        <v>-</v>
      </c>
      <c r="K50" s="43"/>
    </row>
    <row r="51" spans="1:11" s="189" customFormat="1" ht="56.25">
      <c r="A51" s="181">
        <v>1200</v>
      </c>
      <c r="B51" s="216" t="s">
        <v>33</v>
      </c>
      <c r="C51" s="210">
        <f>SUM(C52+C53)</f>
        <v>1936967</v>
      </c>
      <c r="D51" s="210">
        <f t="shared" ref="D51:H51" si="15">SUM(D52+D53)</f>
        <v>1950039</v>
      </c>
      <c r="E51" s="210">
        <f t="shared" si="15"/>
        <v>510532</v>
      </c>
      <c r="F51" s="210">
        <f t="shared" si="15"/>
        <v>1053506</v>
      </c>
      <c r="G51" s="210">
        <f t="shared" si="15"/>
        <v>1577685</v>
      </c>
      <c r="H51" s="210">
        <f t="shared" si="15"/>
        <v>2120952</v>
      </c>
      <c r="I51" s="184">
        <f t="shared" si="1"/>
        <v>170913</v>
      </c>
      <c r="J51" s="185">
        <f t="shared" si="2"/>
        <v>8.7645939388904526E-2</v>
      </c>
      <c r="K51" s="186"/>
    </row>
    <row r="52" spans="1:11" s="189" customFormat="1" ht="37.5">
      <c r="A52" s="211">
        <v>1210</v>
      </c>
      <c r="B52" s="220" t="s">
        <v>34</v>
      </c>
      <c r="C52" s="16">
        <v>1849781</v>
      </c>
      <c r="D52" s="16">
        <v>1886713</v>
      </c>
      <c r="E52" s="12">
        <v>483165</v>
      </c>
      <c r="F52" s="12">
        <v>1014036</v>
      </c>
      <c r="G52" s="12">
        <v>1525058</v>
      </c>
      <c r="H52" s="12">
        <v>2052662</v>
      </c>
      <c r="I52" s="198">
        <f t="shared" si="1"/>
        <v>165949</v>
      </c>
      <c r="J52" s="199">
        <f t="shared" si="2"/>
        <v>8.7956673855536058E-2</v>
      </c>
      <c r="K52" s="255" t="s">
        <v>652</v>
      </c>
    </row>
    <row r="53" spans="1:11" s="189" customFormat="1" ht="37.5">
      <c r="A53" s="222">
        <v>1220</v>
      </c>
      <c r="B53" s="223" t="s">
        <v>35</v>
      </c>
      <c r="C53" s="224">
        <f>SUM(C54:C58)</f>
        <v>87186</v>
      </c>
      <c r="D53" s="224">
        <f>SUM(D54:D58)</f>
        <v>63326</v>
      </c>
      <c r="E53" s="224">
        <f t="shared" ref="E53:H53" si="16">SUM(E54:E58)</f>
        <v>27367</v>
      </c>
      <c r="F53" s="224">
        <f t="shared" si="16"/>
        <v>39470</v>
      </c>
      <c r="G53" s="224">
        <f t="shared" si="16"/>
        <v>52627</v>
      </c>
      <c r="H53" s="224">
        <f t="shared" si="16"/>
        <v>68290</v>
      </c>
      <c r="I53" s="225">
        <f t="shared" si="1"/>
        <v>4964</v>
      </c>
      <c r="J53" s="226">
        <f t="shared" si="2"/>
        <v>7.8388023876448845E-2</v>
      </c>
      <c r="K53" s="227"/>
    </row>
    <row r="54" spans="1:11" s="189" customFormat="1" ht="75">
      <c r="A54" s="214">
        <v>1221</v>
      </c>
      <c r="B54" s="217" t="s">
        <v>36</v>
      </c>
      <c r="C54" s="15">
        <v>87157</v>
      </c>
      <c r="D54" s="15">
        <v>63259</v>
      </c>
      <c r="E54" s="10">
        <v>27367</v>
      </c>
      <c r="F54" s="10">
        <v>39470</v>
      </c>
      <c r="G54" s="10">
        <v>52627</v>
      </c>
      <c r="H54" s="10">
        <v>68290</v>
      </c>
      <c r="I54" s="192">
        <f t="shared" si="1"/>
        <v>5031</v>
      </c>
      <c r="J54" s="193">
        <f t="shared" si="2"/>
        <v>7.9530185428160413E-2</v>
      </c>
      <c r="K54" s="255" t="s">
        <v>652</v>
      </c>
    </row>
    <row r="55" spans="1:11" s="189" customFormat="1" ht="37.5" hidden="1">
      <c r="A55" s="214">
        <v>1222</v>
      </c>
      <c r="B55" s="217" t="s">
        <v>37</v>
      </c>
      <c r="C55" s="15"/>
      <c r="D55" s="15"/>
      <c r="E55" s="10"/>
      <c r="F55" s="10"/>
      <c r="G55" s="10"/>
      <c r="H55" s="10"/>
      <c r="I55" s="192">
        <f t="shared" si="1"/>
        <v>0</v>
      </c>
      <c r="J55" s="193" t="str">
        <f t="shared" si="2"/>
        <v>-</v>
      </c>
      <c r="K55" s="42"/>
    </row>
    <row r="56" spans="1:11" s="189" customFormat="1" hidden="1">
      <c r="A56" s="214">
        <v>1223</v>
      </c>
      <c r="B56" s="228" t="s">
        <v>38</v>
      </c>
      <c r="C56" s="15"/>
      <c r="D56" s="15"/>
      <c r="E56" s="10"/>
      <c r="F56" s="10"/>
      <c r="G56" s="10"/>
      <c r="H56" s="10"/>
      <c r="I56" s="192">
        <f t="shared" si="1"/>
        <v>0</v>
      </c>
      <c r="J56" s="193" t="str">
        <f t="shared" si="2"/>
        <v>-</v>
      </c>
      <c r="K56" s="42"/>
    </row>
    <row r="57" spans="1:11" s="189" customFormat="1" ht="37.5" hidden="1">
      <c r="A57" s="214">
        <v>1227</v>
      </c>
      <c r="B57" s="217" t="s">
        <v>39</v>
      </c>
      <c r="C57" s="15"/>
      <c r="D57" s="15"/>
      <c r="E57" s="10"/>
      <c r="F57" s="10"/>
      <c r="G57" s="10"/>
      <c r="H57" s="10"/>
      <c r="I57" s="192">
        <f t="shared" si="1"/>
        <v>0</v>
      </c>
      <c r="J57" s="193" t="str">
        <f t="shared" si="2"/>
        <v>-</v>
      </c>
      <c r="K57" s="42"/>
    </row>
    <row r="58" spans="1:11" s="189" customFormat="1" ht="75">
      <c r="A58" s="214">
        <v>1228</v>
      </c>
      <c r="B58" s="217" t="s">
        <v>333</v>
      </c>
      <c r="C58" s="15">
        <v>29</v>
      </c>
      <c r="D58" s="15">
        <v>67</v>
      </c>
      <c r="E58" s="10"/>
      <c r="F58" s="10"/>
      <c r="G58" s="10"/>
      <c r="H58" s="10"/>
      <c r="I58" s="192">
        <f t="shared" si="1"/>
        <v>-67</v>
      </c>
      <c r="J58" s="193">
        <f t="shared" si="2"/>
        <v>-1</v>
      </c>
      <c r="K58" s="376"/>
    </row>
    <row r="59" spans="1:11" s="189" customFormat="1" ht="19.5">
      <c r="A59" s="181">
        <v>2000</v>
      </c>
      <c r="B59" s="188" t="s">
        <v>40</v>
      </c>
      <c r="C59" s="183">
        <f>C60+C67+C103+C139+C149</f>
        <v>8176192</v>
      </c>
      <c r="D59" s="183">
        <f t="shared" ref="D59:H59" si="17">D60+D67+D103+D139+D149</f>
        <v>7739934</v>
      </c>
      <c r="E59" s="183">
        <f t="shared" si="17"/>
        <v>2046122</v>
      </c>
      <c r="F59" s="183">
        <f t="shared" si="17"/>
        <v>3870409.4</v>
      </c>
      <c r="G59" s="183">
        <f t="shared" si="17"/>
        <v>5722291.4000000004</v>
      </c>
      <c r="H59" s="183">
        <f t="shared" si="17"/>
        <v>7566918.2000000002</v>
      </c>
      <c r="I59" s="184">
        <f t="shared" si="1"/>
        <v>-173015.79999999981</v>
      </c>
      <c r="J59" s="185">
        <f t="shared" si="2"/>
        <v>-2.2353653144845914E-2</v>
      </c>
      <c r="K59" s="186"/>
    </row>
    <row r="60" spans="1:11" s="189" customFormat="1" ht="37.5">
      <c r="A60" s="181">
        <v>2100</v>
      </c>
      <c r="B60" s="188" t="s">
        <v>158</v>
      </c>
      <c r="C60" s="183">
        <f>C61+C64</f>
        <v>8231</v>
      </c>
      <c r="D60" s="183">
        <f t="shared" ref="D60:H60" si="18">D61+D64</f>
        <v>6513</v>
      </c>
      <c r="E60" s="183">
        <f t="shared" si="18"/>
        <v>1091</v>
      </c>
      <c r="F60" s="183">
        <f t="shared" si="18"/>
        <v>4447.3999999999996</v>
      </c>
      <c r="G60" s="183">
        <f t="shared" si="18"/>
        <v>4447.3999999999996</v>
      </c>
      <c r="H60" s="183">
        <f t="shared" si="18"/>
        <v>7750.2</v>
      </c>
      <c r="I60" s="184">
        <f t="shared" si="1"/>
        <v>1237.1999999999998</v>
      </c>
      <c r="J60" s="185">
        <f t="shared" si="2"/>
        <v>0.18995854444956239</v>
      </c>
      <c r="K60" s="186"/>
    </row>
    <row r="61" spans="1:11" s="189" customFormat="1" ht="37.5">
      <c r="A61" s="229">
        <v>2110</v>
      </c>
      <c r="B61" s="188" t="s">
        <v>41</v>
      </c>
      <c r="C61" s="183">
        <f>SUM(C62:C63)</f>
        <v>8</v>
      </c>
      <c r="D61" s="183">
        <f t="shared" ref="D61:H61" si="19">SUM(D62:D63)</f>
        <v>167</v>
      </c>
      <c r="E61" s="183">
        <f t="shared" si="19"/>
        <v>167</v>
      </c>
      <c r="F61" s="183">
        <f t="shared" si="19"/>
        <v>167</v>
      </c>
      <c r="G61" s="183">
        <f t="shared" si="19"/>
        <v>167</v>
      </c>
      <c r="H61" s="183">
        <f t="shared" si="19"/>
        <v>167</v>
      </c>
      <c r="I61" s="184">
        <f t="shared" si="1"/>
        <v>0</v>
      </c>
      <c r="J61" s="185">
        <f t="shared" si="2"/>
        <v>0</v>
      </c>
      <c r="K61" s="186"/>
    </row>
    <row r="62" spans="1:11" s="189" customFormat="1">
      <c r="A62" s="214">
        <v>2111</v>
      </c>
      <c r="B62" s="191" t="s">
        <v>42</v>
      </c>
      <c r="C62" s="10"/>
      <c r="D62" s="10"/>
      <c r="E62" s="10"/>
      <c r="F62" s="10"/>
      <c r="G62" s="10"/>
      <c r="H62" s="10"/>
      <c r="I62" s="192">
        <f t="shared" si="1"/>
        <v>0</v>
      </c>
      <c r="J62" s="193" t="str">
        <f t="shared" si="2"/>
        <v>-</v>
      </c>
      <c r="K62" s="42"/>
    </row>
    <row r="63" spans="1:11" s="230" customFormat="1" ht="37.5">
      <c r="A63" s="214">
        <v>2112</v>
      </c>
      <c r="B63" s="191" t="s">
        <v>421</v>
      </c>
      <c r="C63" s="10">
        <v>8</v>
      </c>
      <c r="D63" s="10">
        <v>167</v>
      </c>
      <c r="E63" s="10">
        <v>167</v>
      </c>
      <c r="F63" s="10">
        <v>167</v>
      </c>
      <c r="G63" s="10">
        <v>167</v>
      </c>
      <c r="H63" s="10">
        <v>167</v>
      </c>
      <c r="I63" s="192">
        <f t="shared" si="1"/>
        <v>0</v>
      </c>
      <c r="J63" s="193">
        <f t="shared" si="2"/>
        <v>0</v>
      </c>
      <c r="K63" s="42"/>
    </row>
    <row r="64" spans="1:11" s="189" customFormat="1" ht="37.5">
      <c r="A64" s="229">
        <v>2120</v>
      </c>
      <c r="B64" s="188" t="s">
        <v>43</v>
      </c>
      <c r="C64" s="183">
        <f>SUM(C65:C66)</f>
        <v>8223</v>
      </c>
      <c r="D64" s="183">
        <f t="shared" ref="D64:H64" si="20">SUM(D65:D66)</f>
        <v>6346</v>
      </c>
      <c r="E64" s="183">
        <f t="shared" si="20"/>
        <v>924</v>
      </c>
      <c r="F64" s="183">
        <f t="shared" si="20"/>
        <v>4280.3999999999996</v>
      </c>
      <c r="G64" s="183">
        <f t="shared" si="20"/>
        <v>4280.3999999999996</v>
      </c>
      <c r="H64" s="183">
        <f t="shared" si="20"/>
        <v>7583.2</v>
      </c>
      <c r="I64" s="184">
        <f t="shared" si="1"/>
        <v>1237.1999999999998</v>
      </c>
      <c r="J64" s="185">
        <f t="shared" si="2"/>
        <v>0.19495745351402455</v>
      </c>
      <c r="K64" s="186"/>
    </row>
    <row r="65" spans="1:11" s="189" customFormat="1">
      <c r="A65" s="214">
        <v>2121</v>
      </c>
      <c r="B65" s="191" t="s">
        <v>42</v>
      </c>
      <c r="C65" s="10">
        <v>378.5</v>
      </c>
      <c r="D65" s="10">
        <v>160</v>
      </c>
      <c r="E65" s="10"/>
      <c r="F65" s="10">
        <v>120</v>
      </c>
      <c r="G65" s="10">
        <v>120</v>
      </c>
      <c r="H65" s="10">
        <v>160</v>
      </c>
      <c r="I65" s="192">
        <f t="shared" si="1"/>
        <v>0</v>
      </c>
      <c r="J65" s="193">
        <f t="shared" si="2"/>
        <v>0</v>
      </c>
      <c r="K65" s="42"/>
    </row>
    <row r="66" spans="1:11" s="230" customFormat="1" ht="37.5">
      <c r="A66" s="214">
        <v>2122</v>
      </c>
      <c r="B66" s="191" t="s">
        <v>421</v>
      </c>
      <c r="C66" s="10">
        <v>7844.5</v>
      </c>
      <c r="D66" s="10">
        <v>6186</v>
      </c>
      <c r="E66" s="10">
        <f>770*1.2</f>
        <v>924</v>
      </c>
      <c r="F66" s="10">
        <f>3467*1.2</f>
        <v>4160.3999999999996</v>
      </c>
      <c r="G66" s="10">
        <f>3467*1.2</f>
        <v>4160.3999999999996</v>
      </c>
      <c r="H66" s="10">
        <f>6186*1.2</f>
        <v>7423.2</v>
      </c>
      <c r="I66" s="192">
        <f t="shared" si="1"/>
        <v>1237.1999999999998</v>
      </c>
      <c r="J66" s="193">
        <f t="shared" si="2"/>
        <v>0.19999999999999998</v>
      </c>
      <c r="K66" s="255" t="s">
        <v>651</v>
      </c>
    </row>
    <row r="67" spans="1:11" s="189" customFormat="1" ht="19.5">
      <c r="A67" s="181">
        <v>2200</v>
      </c>
      <c r="B67" s="216" t="s">
        <v>44</v>
      </c>
      <c r="C67" s="210">
        <f>C68+C69+C75+C83+C90+C91+C97+C102</f>
        <v>1467264</v>
      </c>
      <c r="D67" s="210">
        <f t="shared" ref="D67:H67" si="21">D68+D69+D75+D83+D90+D91+D97+D102</f>
        <v>1356130</v>
      </c>
      <c r="E67" s="210">
        <f t="shared" si="21"/>
        <v>391305</v>
      </c>
      <c r="F67" s="210">
        <f t="shared" si="21"/>
        <v>770888</v>
      </c>
      <c r="G67" s="210">
        <f t="shared" si="21"/>
        <v>1083362</v>
      </c>
      <c r="H67" s="210">
        <f t="shared" si="21"/>
        <v>1533838</v>
      </c>
      <c r="I67" s="184">
        <f t="shared" ref="I67:I130" si="22">H67-D67</f>
        <v>177708</v>
      </c>
      <c r="J67" s="185">
        <f t="shared" ref="J67:J130" si="23">IFERROR(I67/ABS(D67), "-")</f>
        <v>0.13104053446203534</v>
      </c>
      <c r="K67" s="186"/>
    </row>
    <row r="68" spans="1:11" s="189" customFormat="1" ht="19.5">
      <c r="A68" s="229">
        <v>2210</v>
      </c>
      <c r="B68" s="231" t="s">
        <v>422</v>
      </c>
      <c r="C68" s="13">
        <v>15172</v>
      </c>
      <c r="D68" s="13">
        <v>15493</v>
      </c>
      <c r="E68" s="13">
        <v>4236</v>
      </c>
      <c r="F68" s="13">
        <v>7755</v>
      </c>
      <c r="G68" s="13">
        <v>11677</v>
      </c>
      <c r="H68" s="13">
        <v>15493</v>
      </c>
      <c r="I68" s="184">
        <f t="shared" si="22"/>
        <v>0</v>
      </c>
      <c r="J68" s="185">
        <f t="shared" si="23"/>
        <v>0</v>
      </c>
      <c r="K68" s="41"/>
    </row>
    <row r="69" spans="1:11" s="189" customFormat="1" ht="37.5">
      <c r="A69" s="229">
        <v>2220</v>
      </c>
      <c r="B69" s="216" t="s">
        <v>45</v>
      </c>
      <c r="C69" s="210">
        <f>SUM(C70:C74)</f>
        <v>490346</v>
      </c>
      <c r="D69" s="210">
        <f t="shared" ref="D69:H69" si="24">SUM(D70:D74)</f>
        <v>453984</v>
      </c>
      <c r="E69" s="210">
        <f t="shared" si="24"/>
        <v>162565</v>
      </c>
      <c r="F69" s="210">
        <f t="shared" si="24"/>
        <v>263217</v>
      </c>
      <c r="G69" s="210">
        <f t="shared" si="24"/>
        <v>345839</v>
      </c>
      <c r="H69" s="210">
        <f t="shared" si="24"/>
        <v>470177</v>
      </c>
      <c r="I69" s="184">
        <f t="shared" si="22"/>
        <v>16193</v>
      </c>
      <c r="J69" s="185">
        <f t="shared" si="23"/>
        <v>3.5668657926270532E-2</v>
      </c>
      <c r="K69" s="186"/>
    </row>
    <row r="70" spans="1:11" s="189" customFormat="1">
      <c r="A70" s="214">
        <v>2221</v>
      </c>
      <c r="B70" s="217" t="s">
        <v>423</v>
      </c>
      <c r="C70" s="15">
        <v>197681</v>
      </c>
      <c r="D70" s="15">
        <v>175943</v>
      </c>
      <c r="E70" s="195">
        <v>82984</v>
      </c>
      <c r="F70" s="195">
        <v>108582</v>
      </c>
      <c r="G70" s="195">
        <v>119761</v>
      </c>
      <c r="H70" s="232">
        <v>181561</v>
      </c>
      <c r="I70" s="192">
        <f t="shared" si="22"/>
        <v>5618</v>
      </c>
      <c r="J70" s="193">
        <f t="shared" si="23"/>
        <v>3.1930795769084308E-2</v>
      </c>
      <c r="K70" s="42"/>
    </row>
    <row r="71" spans="1:11" s="230" customFormat="1" ht="19.5">
      <c r="A71" s="214">
        <v>2222</v>
      </c>
      <c r="B71" s="217" t="s">
        <v>424</v>
      </c>
      <c r="C71" s="15">
        <v>27577</v>
      </c>
      <c r="D71" s="15">
        <v>29412</v>
      </c>
      <c r="E71" s="195">
        <v>7664</v>
      </c>
      <c r="F71" s="195">
        <v>15174</v>
      </c>
      <c r="G71" s="195">
        <v>22697</v>
      </c>
      <c r="H71" s="232">
        <v>30853</v>
      </c>
      <c r="I71" s="192">
        <f t="shared" si="22"/>
        <v>1441</v>
      </c>
      <c r="J71" s="193">
        <f t="shared" si="23"/>
        <v>4.899360805113559E-2</v>
      </c>
      <c r="K71" s="42"/>
    </row>
    <row r="72" spans="1:11" s="189" customFormat="1">
      <c r="A72" s="214">
        <v>2223</v>
      </c>
      <c r="B72" s="217" t="s">
        <v>46</v>
      </c>
      <c r="C72" s="15">
        <v>208105</v>
      </c>
      <c r="D72" s="15">
        <v>191336</v>
      </c>
      <c r="E72" s="195">
        <v>57926</v>
      </c>
      <c r="F72" s="195">
        <v>111151</v>
      </c>
      <c r="G72" s="195">
        <v>160667</v>
      </c>
      <c r="H72" s="232">
        <v>200470</v>
      </c>
      <c r="I72" s="192">
        <f t="shared" si="22"/>
        <v>9134</v>
      </c>
      <c r="J72" s="193">
        <f t="shared" si="23"/>
        <v>4.7738010620061042E-2</v>
      </c>
      <c r="K72" s="42"/>
    </row>
    <row r="73" spans="1:11" s="189" customFormat="1" ht="56.25">
      <c r="A73" s="214">
        <v>2224</v>
      </c>
      <c r="B73" s="217" t="s">
        <v>159</v>
      </c>
      <c r="C73" s="15">
        <v>52627</v>
      </c>
      <c r="D73" s="15">
        <v>57293</v>
      </c>
      <c r="E73" s="195">
        <v>13991</v>
      </c>
      <c r="F73" s="195">
        <v>28310</v>
      </c>
      <c r="G73" s="195">
        <v>42714</v>
      </c>
      <c r="H73" s="232">
        <v>57293</v>
      </c>
      <c r="I73" s="192">
        <f t="shared" si="22"/>
        <v>0</v>
      </c>
      <c r="J73" s="193">
        <f t="shared" si="23"/>
        <v>0</v>
      </c>
      <c r="K73" s="42"/>
    </row>
    <row r="74" spans="1:11" s="189" customFormat="1" ht="37.5">
      <c r="A74" s="214">
        <v>2229</v>
      </c>
      <c r="B74" s="217" t="s">
        <v>47</v>
      </c>
      <c r="C74" s="15">
        <v>4356</v>
      </c>
      <c r="D74" s="15"/>
      <c r="E74" s="10"/>
      <c r="F74" s="10"/>
      <c r="G74" s="10"/>
      <c r="H74" s="15"/>
      <c r="I74" s="192">
        <f t="shared" si="22"/>
        <v>0</v>
      </c>
      <c r="J74" s="193" t="str">
        <f t="shared" si="23"/>
        <v>-</v>
      </c>
      <c r="K74" s="42"/>
    </row>
    <row r="75" spans="1:11" s="189" customFormat="1" ht="19.5">
      <c r="A75" s="229">
        <v>2230</v>
      </c>
      <c r="B75" s="216" t="s">
        <v>425</v>
      </c>
      <c r="C75" s="210">
        <f>SUM(C76:C82)</f>
        <v>443839</v>
      </c>
      <c r="D75" s="210">
        <f t="shared" ref="D75:H75" si="25">SUM(D76:D82)</f>
        <v>397053</v>
      </c>
      <c r="E75" s="210">
        <f t="shared" si="25"/>
        <v>106096</v>
      </c>
      <c r="F75" s="210">
        <f t="shared" si="25"/>
        <v>211182</v>
      </c>
      <c r="G75" s="210">
        <f t="shared" si="25"/>
        <v>307780</v>
      </c>
      <c r="H75" s="210">
        <f t="shared" si="25"/>
        <v>408862</v>
      </c>
      <c r="I75" s="184">
        <f t="shared" si="22"/>
        <v>11809</v>
      </c>
      <c r="J75" s="185">
        <f t="shared" si="23"/>
        <v>2.9741621395632321E-2</v>
      </c>
      <c r="K75" s="186"/>
    </row>
    <row r="76" spans="1:11" s="230" customFormat="1" ht="37.5">
      <c r="A76" s="214">
        <v>2231</v>
      </c>
      <c r="B76" s="217" t="s">
        <v>426</v>
      </c>
      <c r="C76" s="15">
        <v>5423</v>
      </c>
      <c r="D76" s="15"/>
      <c r="E76" s="10"/>
      <c r="F76" s="10"/>
      <c r="G76" s="10"/>
      <c r="H76" s="15"/>
      <c r="I76" s="192">
        <f t="shared" si="22"/>
        <v>0</v>
      </c>
      <c r="J76" s="193" t="str">
        <f t="shared" si="23"/>
        <v>-</v>
      </c>
      <c r="K76" s="42"/>
    </row>
    <row r="77" spans="1:11" s="189" customFormat="1" ht="37.5" hidden="1">
      <c r="A77" s="214">
        <v>2232</v>
      </c>
      <c r="B77" s="217" t="s">
        <v>427</v>
      </c>
      <c r="C77" s="15"/>
      <c r="D77" s="15"/>
      <c r="E77" s="10"/>
      <c r="F77" s="10"/>
      <c r="G77" s="10"/>
      <c r="H77" s="15"/>
      <c r="I77" s="192">
        <f t="shared" si="22"/>
        <v>0</v>
      </c>
      <c r="J77" s="193" t="str">
        <f t="shared" si="23"/>
        <v>-</v>
      </c>
      <c r="K77" s="42"/>
    </row>
    <row r="78" spans="1:11" s="189" customFormat="1" ht="37.5">
      <c r="A78" s="214">
        <v>2233</v>
      </c>
      <c r="B78" s="217" t="s">
        <v>48</v>
      </c>
      <c r="C78" s="15">
        <v>391</v>
      </c>
      <c r="D78" s="15">
        <v>3069</v>
      </c>
      <c r="E78" s="10">
        <v>85</v>
      </c>
      <c r="F78" s="10">
        <v>188</v>
      </c>
      <c r="G78" s="10">
        <v>3370</v>
      </c>
      <c r="H78" s="15">
        <v>3376</v>
      </c>
      <c r="I78" s="192">
        <f t="shared" si="22"/>
        <v>307</v>
      </c>
      <c r="J78" s="193">
        <f t="shared" si="23"/>
        <v>0.10003258390355164</v>
      </c>
      <c r="K78" s="255" t="s">
        <v>650</v>
      </c>
    </row>
    <row r="79" spans="1:11" s="189" customFormat="1" ht="37.5">
      <c r="A79" s="214">
        <v>2234</v>
      </c>
      <c r="B79" s="217" t="s">
        <v>49</v>
      </c>
      <c r="C79" s="15">
        <v>38</v>
      </c>
      <c r="D79" s="15"/>
      <c r="E79" s="10"/>
      <c r="F79" s="10"/>
      <c r="G79" s="10"/>
      <c r="H79" s="15"/>
      <c r="I79" s="192">
        <f t="shared" si="22"/>
        <v>0</v>
      </c>
      <c r="J79" s="193" t="str">
        <f t="shared" si="23"/>
        <v>-</v>
      </c>
      <c r="K79" s="42"/>
    </row>
    <row r="80" spans="1:11" s="189" customFormat="1" ht="37.5">
      <c r="A80" s="214">
        <v>2235</v>
      </c>
      <c r="B80" s="217" t="s">
        <v>428</v>
      </c>
      <c r="C80" s="15">
        <v>1420</v>
      </c>
      <c r="D80" s="15">
        <v>3497</v>
      </c>
      <c r="E80" s="10">
        <v>260</v>
      </c>
      <c r="F80" s="10">
        <v>669</v>
      </c>
      <c r="G80" s="10">
        <v>884</v>
      </c>
      <c r="H80" s="15">
        <v>3497</v>
      </c>
      <c r="I80" s="192">
        <f t="shared" si="22"/>
        <v>0</v>
      </c>
      <c r="J80" s="193">
        <f t="shared" si="23"/>
        <v>0</v>
      </c>
      <c r="K80" s="42"/>
    </row>
    <row r="81" spans="1:11" s="189" customFormat="1">
      <c r="A81" s="214">
        <v>2236</v>
      </c>
      <c r="B81" s="217" t="s">
        <v>429</v>
      </c>
      <c r="C81" s="15">
        <v>7231</v>
      </c>
      <c r="D81" s="15">
        <v>7094</v>
      </c>
      <c r="E81" s="10">
        <v>1798</v>
      </c>
      <c r="F81" s="10">
        <v>3390</v>
      </c>
      <c r="G81" s="10">
        <v>5085</v>
      </c>
      <c r="H81" s="15">
        <v>7094</v>
      </c>
      <c r="I81" s="192">
        <f t="shared" si="22"/>
        <v>0</v>
      </c>
      <c r="J81" s="193">
        <f t="shared" si="23"/>
        <v>0</v>
      </c>
      <c r="K81" s="42"/>
    </row>
    <row r="82" spans="1:11" s="189" customFormat="1">
      <c r="A82" s="214">
        <v>2239</v>
      </c>
      <c r="B82" s="217" t="s">
        <v>430</v>
      </c>
      <c r="C82" s="15">
        <f>44751+384585</f>
        <v>429336</v>
      </c>
      <c r="D82" s="15">
        <f>35452+347942-1</f>
        <v>383393</v>
      </c>
      <c r="E82" s="10">
        <v>103953</v>
      </c>
      <c r="F82" s="10">
        <v>206935</v>
      </c>
      <c r="G82" s="10">
        <v>298441</v>
      </c>
      <c r="H82" s="15">
        <v>394895</v>
      </c>
      <c r="I82" s="192">
        <f t="shared" si="22"/>
        <v>11502</v>
      </c>
      <c r="J82" s="193">
        <f t="shared" si="23"/>
        <v>3.0000547740829907E-2</v>
      </c>
      <c r="K82" s="42"/>
    </row>
    <row r="83" spans="1:11" s="230" customFormat="1" ht="37.5">
      <c r="A83" s="229">
        <v>2240</v>
      </c>
      <c r="B83" s="216" t="s">
        <v>160</v>
      </c>
      <c r="C83" s="210">
        <f>SUM(C84:C89)</f>
        <v>358119</v>
      </c>
      <c r="D83" s="210">
        <f t="shared" ref="D83:H83" si="26">SUM(D84:D89)</f>
        <v>314182</v>
      </c>
      <c r="E83" s="210">
        <f t="shared" si="26"/>
        <v>77297</v>
      </c>
      <c r="F83" s="210">
        <f t="shared" si="26"/>
        <v>206948</v>
      </c>
      <c r="G83" s="210">
        <f t="shared" si="26"/>
        <v>292113</v>
      </c>
      <c r="H83" s="210">
        <f t="shared" si="26"/>
        <v>457240</v>
      </c>
      <c r="I83" s="184">
        <f t="shared" si="22"/>
        <v>143058</v>
      </c>
      <c r="J83" s="185">
        <f t="shared" si="23"/>
        <v>0.45533480594050585</v>
      </c>
      <c r="K83" s="186"/>
    </row>
    <row r="84" spans="1:11" s="189" customFormat="1" ht="56.25">
      <c r="A84" s="214">
        <v>2241</v>
      </c>
      <c r="B84" s="217" t="s">
        <v>431</v>
      </c>
      <c r="C84" s="15">
        <v>34593</v>
      </c>
      <c r="D84" s="15">
        <v>51989</v>
      </c>
      <c r="E84" s="10">
        <f>1500+4000</f>
        <v>5500</v>
      </c>
      <c r="F84" s="10">
        <f>2670+3000+4000+67000</f>
        <v>76670</v>
      </c>
      <c r="G84" s="10">
        <f>6622+4500+4000+67000+23000</f>
        <v>105122</v>
      </c>
      <c r="H84" s="15">
        <f>51989+6000+4000+67000+23000</f>
        <v>151989</v>
      </c>
      <c r="I84" s="192">
        <f t="shared" si="22"/>
        <v>100000</v>
      </c>
      <c r="J84" s="193">
        <f t="shared" si="23"/>
        <v>1.9234838138837063</v>
      </c>
      <c r="K84" s="255" t="s">
        <v>649</v>
      </c>
    </row>
    <row r="85" spans="1:11" s="189" customFormat="1">
      <c r="A85" s="214">
        <v>2242</v>
      </c>
      <c r="B85" s="217" t="s">
        <v>50</v>
      </c>
      <c r="C85" s="15">
        <v>1510</v>
      </c>
      <c r="D85" s="15">
        <v>1822</v>
      </c>
      <c r="E85" s="10">
        <v>687</v>
      </c>
      <c r="F85" s="10">
        <v>1530</v>
      </c>
      <c r="G85" s="10">
        <v>1677</v>
      </c>
      <c r="H85" s="15">
        <v>1822</v>
      </c>
      <c r="I85" s="192">
        <f t="shared" si="22"/>
        <v>0</v>
      </c>
      <c r="J85" s="193">
        <f t="shared" si="23"/>
        <v>0</v>
      </c>
      <c r="K85" s="42"/>
    </row>
    <row r="86" spans="1:11" s="189" customFormat="1" ht="37.5">
      <c r="A86" s="214">
        <v>2243</v>
      </c>
      <c r="B86" s="217" t="s">
        <v>51</v>
      </c>
      <c r="C86" s="15">
        <v>138061</v>
      </c>
      <c r="D86" s="15">
        <v>131846</v>
      </c>
      <c r="E86" s="10">
        <f>33790+8000</f>
        <v>41790</v>
      </c>
      <c r="F86" s="10">
        <f>61079+8000</f>
        <v>69079</v>
      </c>
      <c r="G86" s="10">
        <f>93073+8000</f>
        <v>101073</v>
      </c>
      <c r="H86" s="15">
        <f>131846+8000</f>
        <v>139846</v>
      </c>
      <c r="I86" s="192">
        <f t="shared" si="22"/>
        <v>8000</v>
      </c>
      <c r="J86" s="193">
        <f t="shared" si="23"/>
        <v>6.0676850264702757E-2</v>
      </c>
      <c r="K86" s="255" t="s">
        <v>648</v>
      </c>
    </row>
    <row r="87" spans="1:11" s="189" customFormat="1">
      <c r="A87" s="214">
        <v>2244</v>
      </c>
      <c r="B87" s="217" t="s">
        <v>161</v>
      </c>
      <c r="C87" s="15">
        <v>42387</v>
      </c>
      <c r="D87" s="15">
        <v>23631</v>
      </c>
      <c r="E87" s="10">
        <v>7130</v>
      </c>
      <c r="F87" s="10">
        <v>14686</v>
      </c>
      <c r="G87" s="10">
        <v>19993</v>
      </c>
      <c r="H87" s="15">
        <v>24576</v>
      </c>
      <c r="I87" s="192">
        <f t="shared" si="22"/>
        <v>945</v>
      </c>
      <c r="J87" s="193">
        <f t="shared" si="23"/>
        <v>3.998984384918116E-2</v>
      </c>
      <c r="K87" s="42"/>
    </row>
    <row r="88" spans="1:11" s="189" customFormat="1">
      <c r="A88" s="214">
        <v>2247</v>
      </c>
      <c r="B88" s="217" t="s">
        <v>52</v>
      </c>
      <c r="C88" s="15">
        <v>2496</v>
      </c>
      <c r="D88" s="15">
        <v>2072</v>
      </c>
      <c r="E88" s="10">
        <v>473</v>
      </c>
      <c r="F88" s="10">
        <v>1808</v>
      </c>
      <c r="G88" s="10">
        <v>2003</v>
      </c>
      <c r="H88" s="15">
        <v>2072</v>
      </c>
      <c r="I88" s="192">
        <f t="shared" si="22"/>
        <v>0</v>
      </c>
      <c r="J88" s="193">
        <f t="shared" si="23"/>
        <v>0</v>
      </c>
      <c r="K88" s="42"/>
    </row>
    <row r="89" spans="1:11" s="189" customFormat="1" ht="37.5">
      <c r="A89" s="214">
        <v>2249</v>
      </c>
      <c r="B89" s="217" t="s">
        <v>53</v>
      </c>
      <c r="C89" s="15">
        <f>15000+124072</f>
        <v>139072</v>
      </c>
      <c r="D89" s="15">
        <f>93531+9291</f>
        <v>102822</v>
      </c>
      <c r="E89" s="10">
        <f>14217+7500</f>
        <v>21717</v>
      </c>
      <c r="F89" s="10">
        <f>28175+15000</f>
        <v>43175</v>
      </c>
      <c r="G89" s="10">
        <f>39745+22500</f>
        <v>62245</v>
      </c>
      <c r="H89" s="15">
        <f>106935+30000</f>
        <v>136935</v>
      </c>
      <c r="I89" s="192">
        <f t="shared" si="22"/>
        <v>34113</v>
      </c>
      <c r="J89" s="193">
        <f t="shared" si="23"/>
        <v>0.33176752056952791</v>
      </c>
      <c r="K89" s="255" t="s">
        <v>647</v>
      </c>
    </row>
    <row r="90" spans="1:11" s="230" customFormat="1" ht="19.5">
      <c r="A90" s="229">
        <v>2250</v>
      </c>
      <c r="B90" s="231" t="s">
        <v>54</v>
      </c>
      <c r="C90" s="13">
        <v>66130</v>
      </c>
      <c r="D90" s="13">
        <v>134280</v>
      </c>
      <c r="E90" s="13">
        <v>31056</v>
      </c>
      <c r="F90" s="13">
        <v>64657</v>
      </c>
      <c r="G90" s="13">
        <v>98369</v>
      </c>
      <c r="H90" s="13">
        <v>139651</v>
      </c>
      <c r="I90" s="184">
        <f t="shared" si="22"/>
        <v>5371</v>
      </c>
      <c r="J90" s="185">
        <f t="shared" si="23"/>
        <v>3.9998510574918079E-2</v>
      </c>
      <c r="K90" s="41"/>
    </row>
    <row r="91" spans="1:11" s="230" customFormat="1" ht="19.5">
      <c r="A91" s="229">
        <v>2260</v>
      </c>
      <c r="B91" s="231" t="s">
        <v>55</v>
      </c>
      <c r="C91" s="210">
        <f>SUM(C92:C96)</f>
        <v>82229</v>
      </c>
      <c r="D91" s="210">
        <f t="shared" ref="D91:H91" si="27">SUM(D92:D96)</f>
        <v>32157</v>
      </c>
      <c r="E91" s="210">
        <f t="shared" si="27"/>
        <v>6583</v>
      </c>
      <c r="F91" s="210">
        <f t="shared" si="27"/>
        <v>12596</v>
      </c>
      <c r="G91" s="210">
        <f t="shared" si="27"/>
        <v>21135</v>
      </c>
      <c r="H91" s="210">
        <f t="shared" si="27"/>
        <v>33434</v>
      </c>
      <c r="I91" s="184">
        <f t="shared" si="22"/>
        <v>1277</v>
      </c>
      <c r="J91" s="185">
        <f t="shared" si="23"/>
        <v>3.9711415865907887E-2</v>
      </c>
      <c r="K91" s="186"/>
    </row>
    <row r="92" spans="1:11" s="189" customFormat="1" hidden="1">
      <c r="A92" s="214">
        <v>2261</v>
      </c>
      <c r="B92" s="228" t="s">
        <v>56</v>
      </c>
      <c r="C92" s="15"/>
      <c r="D92" s="15"/>
      <c r="E92" s="10"/>
      <c r="F92" s="10"/>
      <c r="G92" s="10"/>
      <c r="H92" s="10"/>
      <c r="I92" s="192">
        <f t="shared" si="22"/>
        <v>0</v>
      </c>
      <c r="J92" s="193" t="str">
        <f t="shared" si="23"/>
        <v>-</v>
      </c>
      <c r="K92" s="42"/>
    </row>
    <row r="93" spans="1:11" s="189" customFormat="1" hidden="1">
      <c r="A93" s="214">
        <v>2262</v>
      </c>
      <c r="B93" s="228" t="s">
        <v>57</v>
      </c>
      <c r="C93" s="15"/>
      <c r="D93" s="15"/>
      <c r="E93" s="10"/>
      <c r="F93" s="10"/>
      <c r="G93" s="10"/>
      <c r="H93" s="10"/>
      <c r="I93" s="192">
        <f t="shared" si="22"/>
        <v>0</v>
      </c>
      <c r="J93" s="193" t="str">
        <f t="shared" si="23"/>
        <v>-</v>
      </c>
      <c r="K93" s="42"/>
    </row>
    <row r="94" spans="1:11" s="189" customFormat="1" hidden="1">
      <c r="A94" s="214">
        <v>2263</v>
      </c>
      <c r="B94" s="228" t="s">
        <v>58</v>
      </c>
      <c r="C94" s="15"/>
      <c r="D94" s="15"/>
      <c r="E94" s="10"/>
      <c r="F94" s="10"/>
      <c r="G94" s="10"/>
      <c r="H94" s="10"/>
      <c r="I94" s="192">
        <f t="shared" si="22"/>
        <v>0</v>
      </c>
      <c r="J94" s="193" t="str">
        <f t="shared" si="23"/>
        <v>-</v>
      </c>
      <c r="K94" s="42"/>
    </row>
    <row r="95" spans="1:11" s="189" customFormat="1">
      <c r="A95" s="214">
        <v>2264</v>
      </c>
      <c r="B95" s="228" t="s">
        <v>162</v>
      </c>
      <c r="C95" s="15">
        <v>82229</v>
      </c>
      <c r="D95" s="15">
        <v>31930</v>
      </c>
      <c r="E95" s="10">
        <v>6583</v>
      </c>
      <c r="F95" s="10">
        <v>12525</v>
      </c>
      <c r="G95" s="10">
        <v>20986</v>
      </c>
      <c r="H95" s="15">
        <v>33207</v>
      </c>
      <c r="I95" s="192">
        <f t="shared" si="22"/>
        <v>1277</v>
      </c>
      <c r="J95" s="193">
        <f t="shared" si="23"/>
        <v>3.9993736298152206E-2</v>
      </c>
      <c r="K95" s="42"/>
    </row>
    <row r="96" spans="1:11" s="189" customFormat="1">
      <c r="A96" s="214">
        <v>2269</v>
      </c>
      <c r="B96" s="228" t="s">
        <v>59</v>
      </c>
      <c r="C96" s="15"/>
      <c r="D96" s="15">
        <v>227</v>
      </c>
      <c r="E96" s="10"/>
      <c r="F96" s="10">
        <v>71</v>
      </c>
      <c r="G96" s="10">
        <v>149</v>
      </c>
      <c r="H96" s="15">
        <v>227</v>
      </c>
      <c r="I96" s="192">
        <f t="shared" si="22"/>
        <v>0</v>
      </c>
      <c r="J96" s="193">
        <f t="shared" si="23"/>
        <v>0</v>
      </c>
      <c r="K96" s="42"/>
    </row>
    <row r="97" spans="1:11" s="189" customFormat="1" ht="19.5">
      <c r="A97" s="229">
        <v>2270</v>
      </c>
      <c r="B97" s="231" t="s">
        <v>432</v>
      </c>
      <c r="C97" s="210">
        <f>SUM(C98:C101)</f>
        <v>8400</v>
      </c>
      <c r="D97" s="210">
        <f t="shared" ref="D97:H97" si="28">SUM(D98:D101)</f>
        <v>4965</v>
      </c>
      <c r="E97" s="210">
        <f t="shared" si="28"/>
        <v>2400</v>
      </c>
      <c r="F97" s="210">
        <f t="shared" si="28"/>
        <v>2800</v>
      </c>
      <c r="G97" s="210">
        <f t="shared" si="28"/>
        <v>3720</v>
      </c>
      <c r="H97" s="210">
        <f t="shared" si="28"/>
        <v>4965</v>
      </c>
      <c r="I97" s="184">
        <f t="shared" si="22"/>
        <v>0</v>
      </c>
      <c r="J97" s="185">
        <f t="shared" si="23"/>
        <v>0</v>
      </c>
      <c r="K97" s="186"/>
    </row>
    <row r="98" spans="1:11" s="189" customFormat="1" hidden="1">
      <c r="A98" s="214">
        <v>2272</v>
      </c>
      <c r="B98" s="217" t="s">
        <v>60</v>
      </c>
      <c r="C98" s="15"/>
      <c r="D98" s="15"/>
      <c r="E98" s="10"/>
      <c r="F98" s="10"/>
      <c r="G98" s="10"/>
      <c r="H98" s="10"/>
      <c r="I98" s="192">
        <f t="shared" si="22"/>
        <v>0</v>
      </c>
      <c r="J98" s="193" t="str">
        <f t="shared" si="23"/>
        <v>-</v>
      </c>
      <c r="K98" s="42"/>
    </row>
    <row r="99" spans="1:11" s="189" customFormat="1" hidden="1">
      <c r="A99" s="214">
        <v>2273</v>
      </c>
      <c r="B99" s="217" t="s">
        <v>61</v>
      </c>
      <c r="C99" s="15"/>
      <c r="D99" s="15"/>
      <c r="E99" s="10"/>
      <c r="F99" s="10"/>
      <c r="G99" s="10"/>
      <c r="H99" s="10"/>
      <c r="I99" s="192">
        <f t="shared" si="22"/>
        <v>0</v>
      </c>
      <c r="J99" s="193" t="str">
        <f t="shared" si="23"/>
        <v>-</v>
      </c>
      <c r="K99" s="42"/>
    </row>
    <row r="100" spans="1:11" s="189" customFormat="1" hidden="1">
      <c r="A100" s="214">
        <v>2274</v>
      </c>
      <c r="B100" s="217" t="s">
        <v>433</v>
      </c>
      <c r="C100" s="15"/>
      <c r="D100" s="15"/>
      <c r="E100" s="10"/>
      <c r="F100" s="10"/>
      <c r="G100" s="10"/>
      <c r="H100" s="10"/>
      <c r="I100" s="192">
        <f t="shared" si="22"/>
        <v>0</v>
      </c>
      <c r="J100" s="193" t="str">
        <f t="shared" si="23"/>
        <v>-</v>
      </c>
      <c r="K100" s="42"/>
    </row>
    <row r="101" spans="1:11" s="189" customFormat="1" ht="37.5">
      <c r="A101" s="214">
        <v>2276</v>
      </c>
      <c r="B101" s="217" t="s">
        <v>163</v>
      </c>
      <c r="C101" s="15">
        <v>8400</v>
      </c>
      <c r="D101" s="15">
        <v>4965</v>
      </c>
      <c r="E101" s="10">
        <v>2400</v>
      </c>
      <c r="F101" s="10">
        <v>2800</v>
      </c>
      <c r="G101" s="10">
        <v>3720</v>
      </c>
      <c r="H101" s="15">
        <v>4965</v>
      </c>
      <c r="I101" s="192">
        <f t="shared" si="22"/>
        <v>0</v>
      </c>
      <c r="J101" s="193">
        <f t="shared" si="23"/>
        <v>0</v>
      </c>
      <c r="K101" s="42"/>
    </row>
    <row r="102" spans="1:11" s="189" customFormat="1" ht="37.5">
      <c r="A102" s="229">
        <v>2280</v>
      </c>
      <c r="B102" s="216" t="s">
        <v>62</v>
      </c>
      <c r="C102" s="13">
        <v>3029</v>
      </c>
      <c r="D102" s="13">
        <v>4016</v>
      </c>
      <c r="E102" s="13">
        <v>1072</v>
      </c>
      <c r="F102" s="13">
        <v>1733</v>
      </c>
      <c r="G102" s="13">
        <v>2729</v>
      </c>
      <c r="H102" s="13">
        <v>4016</v>
      </c>
      <c r="I102" s="184">
        <f t="shared" si="22"/>
        <v>0</v>
      </c>
      <c r="J102" s="185">
        <f t="shared" si="23"/>
        <v>0</v>
      </c>
      <c r="K102" s="41"/>
    </row>
    <row r="103" spans="1:11" s="230" customFormat="1" ht="56.25">
      <c r="A103" s="181">
        <v>2300</v>
      </c>
      <c r="B103" s="216" t="s">
        <v>63</v>
      </c>
      <c r="C103" s="210">
        <f t="shared" ref="C103:H103" si="29">C104+C109+C113+C114+C128+C129+C136+C137+C138</f>
        <v>5790012</v>
      </c>
      <c r="D103" s="210">
        <f t="shared" si="29"/>
        <v>5467812</v>
      </c>
      <c r="E103" s="183">
        <f t="shared" si="29"/>
        <v>1404483</v>
      </c>
      <c r="F103" s="183">
        <f t="shared" si="29"/>
        <v>2649253</v>
      </c>
      <c r="G103" s="183">
        <f t="shared" si="29"/>
        <v>4005287</v>
      </c>
      <c r="H103" s="183">
        <f t="shared" si="29"/>
        <v>5155575</v>
      </c>
      <c r="I103" s="184">
        <f t="shared" si="22"/>
        <v>-312237</v>
      </c>
      <c r="J103" s="185">
        <f t="shared" si="23"/>
        <v>-5.7104560288466395E-2</v>
      </c>
      <c r="K103" s="186"/>
    </row>
    <row r="104" spans="1:11" s="189" customFormat="1" ht="19.5">
      <c r="A104" s="229">
        <v>2310</v>
      </c>
      <c r="B104" s="216" t="s">
        <v>434</v>
      </c>
      <c r="C104" s="210">
        <f>SUM(C105:C108)</f>
        <v>83113</v>
      </c>
      <c r="D104" s="210">
        <f t="shared" ref="D104:H104" si="30">SUM(D105:D108)</f>
        <v>61239</v>
      </c>
      <c r="E104" s="210">
        <f t="shared" si="30"/>
        <v>14570</v>
      </c>
      <c r="F104" s="210">
        <f t="shared" si="30"/>
        <v>33725</v>
      </c>
      <c r="G104" s="210">
        <f t="shared" si="30"/>
        <v>44643</v>
      </c>
      <c r="H104" s="210">
        <f t="shared" si="30"/>
        <v>62782</v>
      </c>
      <c r="I104" s="184">
        <f t="shared" si="22"/>
        <v>1543</v>
      </c>
      <c r="J104" s="185">
        <f t="shared" si="23"/>
        <v>2.519636179558778E-2</v>
      </c>
      <c r="K104" s="186"/>
    </row>
    <row r="105" spans="1:11" s="189" customFormat="1">
      <c r="A105" s="214">
        <v>2311</v>
      </c>
      <c r="B105" s="228" t="s">
        <v>64</v>
      </c>
      <c r="C105" s="15">
        <v>10793</v>
      </c>
      <c r="D105" s="15">
        <v>9779</v>
      </c>
      <c r="E105" s="10">
        <v>2469</v>
      </c>
      <c r="F105" s="10">
        <v>4830</v>
      </c>
      <c r="G105" s="10">
        <v>7098</v>
      </c>
      <c r="H105" s="15">
        <v>9779</v>
      </c>
      <c r="I105" s="192">
        <f t="shared" si="22"/>
        <v>0</v>
      </c>
      <c r="J105" s="193">
        <f t="shared" si="23"/>
        <v>0</v>
      </c>
      <c r="K105" s="42"/>
    </row>
    <row r="106" spans="1:11" s="189" customFormat="1">
      <c r="A106" s="214">
        <v>2312</v>
      </c>
      <c r="B106" s="228" t="s">
        <v>65</v>
      </c>
      <c r="C106" s="15">
        <v>39972</v>
      </c>
      <c r="D106" s="15">
        <v>43447</v>
      </c>
      <c r="E106" s="10">
        <v>9438</v>
      </c>
      <c r="F106" s="10">
        <v>21956</v>
      </c>
      <c r="G106" s="10">
        <v>30486</v>
      </c>
      <c r="H106" s="15">
        <v>44750</v>
      </c>
      <c r="I106" s="192">
        <f t="shared" si="22"/>
        <v>1303</v>
      </c>
      <c r="J106" s="193">
        <f t="shared" si="23"/>
        <v>2.9990563214951551E-2</v>
      </c>
      <c r="K106" s="42"/>
    </row>
    <row r="107" spans="1:11" s="230" customFormat="1" ht="19.5">
      <c r="A107" s="214">
        <v>2313</v>
      </c>
      <c r="B107" s="228" t="s">
        <v>435</v>
      </c>
      <c r="C107" s="15">
        <v>32321</v>
      </c>
      <c r="D107" s="15">
        <v>7993</v>
      </c>
      <c r="E107" s="10">
        <v>2646</v>
      </c>
      <c r="F107" s="10">
        <v>6922</v>
      </c>
      <c r="G107" s="10">
        <v>7042</v>
      </c>
      <c r="H107" s="15">
        <v>8233</v>
      </c>
      <c r="I107" s="192">
        <f t="shared" si="22"/>
        <v>240</v>
      </c>
      <c r="J107" s="193">
        <f t="shared" si="23"/>
        <v>3.0026272988865257E-2</v>
      </c>
      <c r="K107" s="42"/>
    </row>
    <row r="108" spans="1:11" s="189" customFormat="1" ht="37.5">
      <c r="A108" s="214">
        <v>2314</v>
      </c>
      <c r="B108" s="217" t="s">
        <v>436</v>
      </c>
      <c r="C108" s="15">
        <v>27</v>
      </c>
      <c r="D108" s="15">
        <v>20</v>
      </c>
      <c r="E108" s="10">
        <v>17</v>
      </c>
      <c r="F108" s="10">
        <v>17</v>
      </c>
      <c r="G108" s="10">
        <v>17</v>
      </c>
      <c r="H108" s="15">
        <v>20</v>
      </c>
      <c r="I108" s="192">
        <f t="shared" si="22"/>
        <v>0</v>
      </c>
      <c r="J108" s="193">
        <f t="shared" si="23"/>
        <v>0</v>
      </c>
      <c r="K108" s="42"/>
    </row>
    <row r="109" spans="1:11" s="189" customFormat="1" ht="19.5">
      <c r="A109" s="229">
        <v>2320</v>
      </c>
      <c r="B109" s="216" t="s">
        <v>66</v>
      </c>
      <c r="C109" s="210">
        <f>SUM(C110:C112)</f>
        <v>1783</v>
      </c>
      <c r="D109" s="210">
        <f t="shared" ref="D109:H109" si="31">SUM(D110:D112)</f>
        <v>1727</v>
      </c>
      <c r="E109" s="210">
        <f t="shared" si="31"/>
        <v>417</v>
      </c>
      <c r="F109" s="210">
        <f t="shared" si="31"/>
        <v>875</v>
      </c>
      <c r="G109" s="210">
        <f t="shared" si="31"/>
        <v>1295</v>
      </c>
      <c r="H109" s="210">
        <f t="shared" si="31"/>
        <v>1727</v>
      </c>
      <c r="I109" s="184">
        <f t="shared" si="22"/>
        <v>0</v>
      </c>
      <c r="J109" s="185">
        <f t="shared" si="23"/>
        <v>0</v>
      </c>
      <c r="K109" s="186"/>
    </row>
    <row r="110" spans="1:11" s="189" customFormat="1">
      <c r="A110" s="214">
        <v>2321</v>
      </c>
      <c r="B110" s="228" t="s">
        <v>67</v>
      </c>
      <c r="C110" s="15"/>
      <c r="D110" s="15"/>
      <c r="E110" s="10"/>
      <c r="F110" s="10"/>
      <c r="G110" s="10"/>
      <c r="H110" s="10"/>
      <c r="I110" s="192">
        <f t="shared" si="22"/>
        <v>0</v>
      </c>
      <c r="J110" s="193" t="str">
        <f t="shared" si="23"/>
        <v>-</v>
      </c>
      <c r="K110" s="42"/>
    </row>
    <row r="111" spans="1:11" s="230" customFormat="1" ht="19.5">
      <c r="A111" s="214">
        <v>2322</v>
      </c>
      <c r="B111" s="228" t="s">
        <v>68</v>
      </c>
      <c r="C111" s="15">
        <v>1783</v>
      </c>
      <c r="D111" s="15">
        <v>1727</v>
      </c>
      <c r="E111" s="10">
        <v>417</v>
      </c>
      <c r="F111" s="10">
        <v>875</v>
      </c>
      <c r="G111" s="10">
        <v>1295</v>
      </c>
      <c r="H111" s="15">
        <v>1727</v>
      </c>
      <c r="I111" s="192">
        <f t="shared" si="22"/>
        <v>0</v>
      </c>
      <c r="J111" s="193">
        <f t="shared" si="23"/>
        <v>0</v>
      </c>
      <c r="K111" s="42"/>
    </row>
    <row r="112" spans="1:11" s="230" customFormat="1" ht="19.5" hidden="1">
      <c r="A112" s="214">
        <v>2329</v>
      </c>
      <c r="B112" s="228" t="s">
        <v>69</v>
      </c>
      <c r="C112" s="15"/>
      <c r="D112" s="15"/>
      <c r="E112" s="10"/>
      <c r="F112" s="10"/>
      <c r="G112" s="10"/>
      <c r="H112" s="10"/>
      <c r="I112" s="192">
        <f t="shared" si="22"/>
        <v>0</v>
      </c>
      <c r="J112" s="193" t="str">
        <f t="shared" si="23"/>
        <v>-</v>
      </c>
      <c r="K112" s="42"/>
    </row>
    <row r="113" spans="1:11" s="189" customFormat="1" ht="19.5" hidden="1">
      <c r="A113" s="229">
        <v>2330</v>
      </c>
      <c r="B113" s="231" t="s">
        <v>70</v>
      </c>
      <c r="C113" s="13"/>
      <c r="D113" s="13"/>
      <c r="E113" s="13"/>
      <c r="F113" s="13"/>
      <c r="G113" s="13"/>
      <c r="H113" s="13"/>
      <c r="I113" s="184">
        <f t="shared" si="22"/>
        <v>0</v>
      </c>
      <c r="J113" s="185" t="str">
        <f t="shared" si="23"/>
        <v>-</v>
      </c>
      <c r="K113" s="41"/>
    </row>
    <row r="114" spans="1:11" s="189" customFormat="1" ht="75">
      <c r="A114" s="229">
        <v>2340</v>
      </c>
      <c r="B114" s="216" t="s">
        <v>71</v>
      </c>
      <c r="C114" s="13">
        <f>C115+C121+C124</f>
        <v>5492080</v>
      </c>
      <c r="D114" s="13">
        <f t="shared" ref="D114:H114" si="32">D115+D121+D124</f>
        <v>5206852</v>
      </c>
      <c r="E114" s="13">
        <f t="shared" si="32"/>
        <v>1336010</v>
      </c>
      <c r="F114" s="13">
        <f t="shared" si="32"/>
        <v>2513837</v>
      </c>
      <c r="G114" s="13">
        <f t="shared" si="32"/>
        <v>3813035</v>
      </c>
      <c r="H114" s="13">
        <f t="shared" si="32"/>
        <v>4892574</v>
      </c>
      <c r="I114" s="184">
        <f t="shared" si="22"/>
        <v>-314278</v>
      </c>
      <c r="J114" s="185">
        <f t="shared" si="23"/>
        <v>-6.0358542935347502E-2</v>
      </c>
      <c r="K114" s="41"/>
    </row>
    <row r="115" spans="1:11" s="189" customFormat="1" ht="19.5">
      <c r="A115" s="181">
        <v>2341</v>
      </c>
      <c r="B115" s="216" t="s">
        <v>72</v>
      </c>
      <c r="C115" s="210">
        <f>SUM(C116:C120)</f>
        <v>539957</v>
      </c>
      <c r="D115" s="210">
        <f t="shared" ref="D115:H115" si="33">SUM(D116:D120)</f>
        <v>567867</v>
      </c>
      <c r="E115" s="210">
        <f t="shared" si="33"/>
        <v>135514</v>
      </c>
      <c r="F115" s="210">
        <f t="shared" si="33"/>
        <v>269076</v>
      </c>
      <c r="G115" s="210">
        <f t="shared" si="33"/>
        <v>409435</v>
      </c>
      <c r="H115" s="210">
        <f t="shared" si="33"/>
        <v>549343</v>
      </c>
      <c r="I115" s="184">
        <f t="shared" si="22"/>
        <v>-18524</v>
      </c>
      <c r="J115" s="185">
        <f t="shared" si="23"/>
        <v>-3.2620314263727246E-2</v>
      </c>
      <c r="K115" s="186"/>
    </row>
    <row r="116" spans="1:11" s="189" customFormat="1">
      <c r="A116" s="214">
        <v>23411</v>
      </c>
      <c r="B116" s="233" t="s">
        <v>330</v>
      </c>
      <c r="C116" s="232">
        <v>480412</v>
      </c>
      <c r="D116" s="232">
        <v>477720</v>
      </c>
      <c r="E116" s="10">
        <v>118480</v>
      </c>
      <c r="F116" s="10">
        <v>237483</v>
      </c>
      <c r="G116" s="10">
        <v>351192</v>
      </c>
      <c r="H116" s="232">
        <v>460999</v>
      </c>
      <c r="I116" s="192">
        <f t="shared" si="22"/>
        <v>-16721</v>
      </c>
      <c r="J116" s="193">
        <f t="shared" si="23"/>
        <v>-3.5001674621116974E-2</v>
      </c>
      <c r="K116" s="42"/>
    </row>
    <row r="117" spans="1:11" s="189" customFormat="1">
      <c r="A117" s="214">
        <v>23412</v>
      </c>
      <c r="B117" s="233" t="s">
        <v>346</v>
      </c>
      <c r="C117" s="232">
        <v>35030</v>
      </c>
      <c r="D117" s="232">
        <v>35521</v>
      </c>
      <c r="E117" s="10">
        <v>12215</v>
      </c>
      <c r="F117" s="10">
        <v>18812</v>
      </c>
      <c r="G117" s="10">
        <v>27893</v>
      </c>
      <c r="H117" s="232">
        <v>34811</v>
      </c>
      <c r="I117" s="192">
        <f t="shared" si="22"/>
        <v>-710</v>
      </c>
      <c r="J117" s="193">
        <f t="shared" si="23"/>
        <v>-1.9988176008558317E-2</v>
      </c>
      <c r="K117" s="42"/>
    </row>
    <row r="118" spans="1:11" s="189" customFormat="1">
      <c r="A118" s="214">
        <v>23413</v>
      </c>
      <c r="B118" s="233" t="s">
        <v>345</v>
      </c>
      <c r="C118" s="232">
        <v>24515</v>
      </c>
      <c r="D118" s="232">
        <v>54626</v>
      </c>
      <c r="E118" s="10">
        <v>4819</v>
      </c>
      <c r="F118" s="10">
        <v>12781</v>
      </c>
      <c r="G118" s="10">
        <v>30350</v>
      </c>
      <c r="H118" s="232">
        <v>53533</v>
      </c>
      <c r="I118" s="192">
        <f t="shared" si="22"/>
        <v>-1093</v>
      </c>
      <c r="J118" s="193">
        <f t="shared" si="23"/>
        <v>-2.0008787024493831E-2</v>
      </c>
      <c r="K118" s="42"/>
    </row>
    <row r="119" spans="1:11" s="189" customFormat="1" hidden="1">
      <c r="A119" s="214">
        <v>23415</v>
      </c>
      <c r="B119" s="233" t="s">
        <v>331</v>
      </c>
      <c r="C119" s="232"/>
      <c r="D119" s="232"/>
      <c r="E119" s="10"/>
      <c r="F119" s="10"/>
      <c r="G119" s="10"/>
      <c r="H119" s="10"/>
      <c r="I119" s="192">
        <f t="shared" si="22"/>
        <v>0</v>
      </c>
      <c r="J119" s="193" t="str">
        <f t="shared" si="23"/>
        <v>-</v>
      </c>
      <c r="K119" s="42"/>
    </row>
    <row r="120" spans="1:11" s="189" customFormat="1" ht="56.25" hidden="1">
      <c r="A120" s="214">
        <v>23416</v>
      </c>
      <c r="B120" s="233" t="s">
        <v>332</v>
      </c>
      <c r="C120" s="232"/>
      <c r="D120" s="232"/>
      <c r="E120" s="10"/>
      <c r="F120" s="10"/>
      <c r="G120" s="10"/>
      <c r="H120" s="10"/>
      <c r="I120" s="192">
        <f t="shared" si="22"/>
        <v>0</v>
      </c>
      <c r="J120" s="193" t="str">
        <f t="shared" si="23"/>
        <v>-</v>
      </c>
      <c r="K120" s="42"/>
    </row>
    <row r="121" spans="1:11" s="230" customFormat="1" ht="19.5">
      <c r="A121" s="181">
        <v>2343</v>
      </c>
      <c r="B121" s="216" t="s">
        <v>357</v>
      </c>
      <c r="C121" s="210">
        <f>SUM(C122:C123)</f>
        <v>170770</v>
      </c>
      <c r="D121" s="210">
        <f t="shared" ref="D121:H121" si="34">SUM(D122:D123)</f>
        <v>146785</v>
      </c>
      <c r="E121" s="210">
        <f t="shared" si="34"/>
        <v>36749</v>
      </c>
      <c r="F121" s="210">
        <f t="shared" si="34"/>
        <v>76373</v>
      </c>
      <c r="G121" s="210">
        <f t="shared" si="34"/>
        <v>111239</v>
      </c>
      <c r="H121" s="210">
        <f t="shared" si="34"/>
        <v>141647</v>
      </c>
      <c r="I121" s="234">
        <f t="shared" si="22"/>
        <v>-5138</v>
      </c>
      <c r="J121" s="185">
        <f t="shared" si="23"/>
        <v>-3.5003576659740437E-2</v>
      </c>
      <c r="K121" s="235"/>
    </row>
    <row r="122" spans="1:11" s="230" customFormat="1" ht="19.5">
      <c r="A122" s="214">
        <v>23431</v>
      </c>
      <c r="B122" s="233" t="s">
        <v>286</v>
      </c>
      <c r="C122" s="232">
        <v>170770</v>
      </c>
      <c r="D122" s="232">
        <v>146785</v>
      </c>
      <c r="E122" s="10">
        <v>36749</v>
      </c>
      <c r="F122" s="10">
        <v>76373</v>
      </c>
      <c r="G122" s="10">
        <v>111239</v>
      </c>
      <c r="H122" s="232">
        <v>141647</v>
      </c>
      <c r="I122" s="192">
        <f t="shared" si="22"/>
        <v>-5138</v>
      </c>
      <c r="J122" s="193">
        <f t="shared" si="23"/>
        <v>-3.5003576659740437E-2</v>
      </c>
      <c r="K122" s="42"/>
    </row>
    <row r="123" spans="1:11" s="230" customFormat="1" ht="19.5">
      <c r="A123" s="214">
        <v>23432</v>
      </c>
      <c r="B123" s="233" t="s">
        <v>290</v>
      </c>
      <c r="C123" s="232"/>
      <c r="D123" s="232"/>
      <c r="E123" s="10"/>
      <c r="F123" s="10"/>
      <c r="G123" s="10"/>
      <c r="H123" s="10"/>
      <c r="I123" s="192">
        <f t="shared" si="22"/>
        <v>0</v>
      </c>
      <c r="J123" s="193" t="str">
        <f t="shared" si="23"/>
        <v>-</v>
      </c>
      <c r="K123" s="42"/>
    </row>
    <row r="124" spans="1:11" s="230" customFormat="1" ht="37.5">
      <c r="A124" s="181">
        <v>2344</v>
      </c>
      <c r="B124" s="216" t="s">
        <v>359</v>
      </c>
      <c r="C124" s="210">
        <f>SUM(C125:C127)</f>
        <v>4781353</v>
      </c>
      <c r="D124" s="210">
        <f t="shared" ref="D124:H124" si="35">SUM(D125:D127)</f>
        <v>4492200</v>
      </c>
      <c r="E124" s="210">
        <f t="shared" si="35"/>
        <v>1163747</v>
      </c>
      <c r="F124" s="210">
        <f t="shared" si="35"/>
        <v>2168388</v>
      </c>
      <c r="G124" s="210">
        <f t="shared" si="35"/>
        <v>3292361</v>
      </c>
      <c r="H124" s="210">
        <f t="shared" si="35"/>
        <v>4201584</v>
      </c>
      <c r="I124" s="184">
        <f t="shared" si="22"/>
        <v>-290616</v>
      </c>
      <c r="J124" s="185">
        <f t="shared" si="23"/>
        <v>-6.4693468679043672E-2</v>
      </c>
      <c r="K124" s="186"/>
    </row>
    <row r="125" spans="1:11" s="230" customFormat="1" ht="19.5">
      <c r="A125" s="214">
        <v>23441</v>
      </c>
      <c r="B125" s="217" t="s">
        <v>287</v>
      </c>
      <c r="C125" s="15">
        <v>846535</v>
      </c>
      <c r="D125" s="15">
        <v>965592</v>
      </c>
      <c r="E125" s="10">
        <v>208590</v>
      </c>
      <c r="F125" s="10">
        <v>446823</v>
      </c>
      <c r="G125" s="10">
        <v>622000</v>
      </c>
      <c r="H125" s="15">
        <v>955921</v>
      </c>
      <c r="I125" s="192">
        <f t="shared" si="22"/>
        <v>-9671</v>
      </c>
      <c r="J125" s="193">
        <f t="shared" si="23"/>
        <v>-1.0015617362198527E-2</v>
      </c>
      <c r="K125" s="42"/>
    </row>
    <row r="126" spans="1:11" s="230" customFormat="1" ht="37.5">
      <c r="A126" s="214">
        <v>23442</v>
      </c>
      <c r="B126" s="217" t="s">
        <v>288</v>
      </c>
      <c r="C126" s="15">
        <v>3923534</v>
      </c>
      <c r="D126" s="15">
        <v>3511810</v>
      </c>
      <c r="E126" s="10">
        <v>953842</v>
      </c>
      <c r="F126" s="10">
        <v>1715965</v>
      </c>
      <c r="G126" s="10">
        <f>2421847+238806</f>
        <v>2660653</v>
      </c>
      <c r="H126" s="15">
        <v>3230865</v>
      </c>
      <c r="I126" s="192">
        <f t="shared" si="22"/>
        <v>-280945</v>
      </c>
      <c r="J126" s="193">
        <f t="shared" si="23"/>
        <v>-8.0000056950689249E-2</v>
      </c>
      <c r="K126" s="255" t="s">
        <v>654</v>
      </c>
    </row>
    <row r="127" spans="1:11" s="230" customFormat="1" ht="19.5">
      <c r="A127" s="214">
        <v>23443</v>
      </c>
      <c r="B127" s="217" t="s">
        <v>289</v>
      </c>
      <c r="C127" s="15">
        <v>11284</v>
      </c>
      <c r="D127" s="15">
        <v>14798</v>
      </c>
      <c r="E127" s="10">
        <v>1315</v>
      </c>
      <c r="F127" s="10">
        <v>5600</v>
      </c>
      <c r="G127" s="10">
        <v>9708</v>
      </c>
      <c r="H127" s="15">
        <v>14798</v>
      </c>
      <c r="I127" s="192">
        <f t="shared" si="22"/>
        <v>0</v>
      </c>
      <c r="J127" s="193">
        <f t="shared" si="23"/>
        <v>0</v>
      </c>
      <c r="K127" s="42"/>
    </row>
    <row r="128" spans="1:11" s="189" customFormat="1" ht="19.5">
      <c r="A128" s="229">
        <v>2350</v>
      </c>
      <c r="B128" s="231" t="s">
        <v>437</v>
      </c>
      <c r="C128" s="13">
        <v>8062</v>
      </c>
      <c r="D128" s="13">
        <v>6070</v>
      </c>
      <c r="E128" s="13">
        <v>622</v>
      </c>
      <c r="F128" s="13">
        <v>1971</v>
      </c>
      <c r="G128" s="13">
        <v>4372</v>
      </c>
      <c r="H128" s="13">
        <v>6070</v>
      </c>
      <c r="I128" s="184">
        <f t="shared" si="22"/>
        <v>0</v>
      </c>
      <c r="J128" s="185">
        <f t="shared" si="23"/>
        <v>0</v>
      </c>
      <c r="K128" s="41"/>
    </row>
    <row r="129" spans="1:11" s="189" customFormat="1" ht="37.5">
      <c r="A129" s="229">
        <v>2360</v>
      </c>
      <c r="B129" s="216" t="s">
        <v>438</v>
      </c>
      <c r="C129" s="210">
        <f>SUM(C130:C135)</f>
        <v>204896</v>
      </c>
      <c r="D129" s="210">
        <f t="shared" ref="D129:H129" si="36">SUM(D130:D135)</f>
        <v>191749</v>
      </c>
      <c r="E129" s="210">
        <f t="shared" si="36"/>
        <v>52864</v>
      </c>
      <c r="F129" s="210">
        <f t="shared" si="36"/>
        <v>98670</v>
      </c>
      <c r="G129" s="210">
        <f t="shared" si="36"/>
        <v>141767</v>
      </c>
      <c r="H129" s="210">
        <f t="shared" si="36"/>
        <v>192247</v>
      </c>
      <c r="I129" s="184">
        <f t="shared" si="22"/>
        <v>498</v>
      </c>
      <c r="J129" s="185">
        <f t="shared" si="23"/>
        <v>2.5971452263114803E-3</v>
      </c>
      <c r="K129" s="186"/>
    </row>
    <row r="130" spans="1:11" s="189" customFormat="1" ht="37.5">
      <c r="A130" s="214">
        <v>2361</v>
      </c>
      <c r="B130" s="217" t="s">
        <v>73</v>
      </c>
      <c r="C130" s="15">
        <v>5706</v>
      </c>
      <c r="D130" s="15">
        <v>3567</v>
      </c>
      <c r="E130" s="10">
        <v>1258</v>
      </c>
      <c r="F130" s="10">
        <v>2689</v>
      </c>
      <c r="G130" s="10">
        <v>3274</v>
      </c>
      <c r="H130" s="15">
        <f>3567+6000+100</f>
        <v>9667</v>
      </c>
      <c r="I130" s="192">
        <f t="shared" si="22"/>
        <v>6100</v>
      </c>
      <c r="J130" s="193">
        <f t="shared" si="23"/>
        <v>1.7101205494813569</v>
      </c>
      <c r="K130" s="255" t="s">
        <v>646</v>
      </c>
    </row>
    <row r="131" spans="1:11" s="189" customFormat="1">
      <c r="A131" s="214">
        <v>2362</v>
      </c>
      <c r="B131" s="217" t="s">
        <v>74</v>
      </c>
      <c r="C131" s="15">
        <v>2059</v>
      </c>
      <c r="D131" s="15">
        <v>1465</v>
      </c>
      <c r="E131" s="10">
        <v>1406</v>
      </c>
      <c r="F131" s="10">
        <v>1406</v>
      </c>
      <c r="G131" s="10">
        <v>1455</v>
      </c>
      <c r="H131" s="15">
        <v>1465</v>
      </c>
      <c r="I131" s="192">
        <f t="shared" ref="I131:I193" si="37">H131-D131</f>
        <v>0</v>
      </c>
      <c r="J131" s="193">
        <f t="shared" ref="J131:J186" si="38">IFERROR(I131/ABS(D131), "-")</f>
        <v>0</v>
      </c>
      <c r="K131" s="42"/>
    </row>
    <row r="132" spans="1:11" s="189" customFormat="1">
      <c r="A132" s="214">
        <v>2363</v>
      </c>
      <c r="B132" s="217" t="s">
        <v>75</v>
      </c>
      <c r="C132" s="15">
        <v>197131</v>
      </c>
      <c r="D132" s="15">
        <v>186717</v>
      </c>
      <c r="E132" s="10">
        <v>50200</v>
      </c>
      <c r="F132" s="10">
        <v>94575</v>
      </c>
      <c r="G132" s="10">
        <v>137038</v>
      </c>
      <c r="H132" s="15">
        <v>181115</v>
      </c>
      <c r="I132" s="192">
        <f t="shared" si="37"/>
        <v>-5602</v>
      </c>
      <c r="J132" s="193">
        <f t="shared" si="38"/>
        <v>-3.0002624292378304E-2</v>
      </c>
      <c r="K132" s="42"/>
    </row>
    <row r="133" spans="1:11" s="189" customFormat="1" hidden="1">
      <c r="A133" s="214">
        <v>2364</v>
      </c>
      <c r="B133" s="217" t="s">
        <v>439</v>
      </c>
      <c r="C133" s="15"/>
      <c r="D133" s="15"/>
      <c r="E133" s="10"/>
      <c r="F133" s="10"/>
      <c r="G133" s="10"/>
      <c r="H133" s="10"/>
      <c r="I133" s="192">
        <f t="shared" si="37"/>
        <v>0</v>
      </c>
      <c r="J133" s="193" t="str">
        <f t="shared" si="38"/>
        <v>-</v>
      </c>
      <c r="K133" s="42"/>
    </row>
    <row r="134" spans="1:11" s="230" customFormat="1" ht="37.5" hidden="1">
      <c r="A134" s="214">
        <v>2366</v>
      </c>
      <c r="B134" s="217" t="s">
        <v>76</v>
      </c>
      <c r="C134" s="15"/>
      <c r="D134" s="15"/>
      <c r="E134" s="10"/>
      <c r="F134" s="10"/>
      <c r="G134" s="10"/>
      <c r="H134" s="10"/>
      <c r="I134" s="192">
        <f t="shared" si="37"/>
        <v>0</v>
      </c>
      <c r="J134" s="193" t="str">
        <f t="shared" si="38"/>
        <v>-</v>
      </c>
      <c r="K134" s="42"/>
    </row>
    <row r="135" spans="1:11" s="230" customFormat="1" ht="56.25" hidden="1">
      <c r="A135" s="214">
        <v>2369</v>
      </c>
      <c r="B135" s="217" t="s">
        <v>164</v>
      </c>
      <c r="C135" s="15"/>
      <c r="D135" s="15"/>
      <c r="E135" s="10"/>
      <c r="F135" s="10"/>
      <c r="G135" s="10"/>
      <c r="H135" s="10"/>
      <c r="I135" s="192">
        <f t="shared" si="37"/>
        <v>0</v>
      </c>
      <c r="J135" s="193" t="str">
        <f t="shared" si="38"/>
        <v>-</v>
      </c>
      <c r="K135" s="42"/>
    </row>
    <row r="136" spans="1:11" s="189" customFormat="1" ht="19.5" hidden="1">
      <c r="A136" s="229">
        <v>2370</v>
      </c>
      <c r="B136" s="231" t="s">
        <v>77</v>
      </c>
      <c r="C136" s="13"/>
      <c r="D136" s="13"/>
      <c r="E136" s="11"/>
      <c r="F136" s="11"/>
      <c r="G136" s="11"/>
      <c r="H136" s="11"/>
      <c r="I136" s="184">
        <f t="shared" si="37"/>
        <v>0</v>
      </c>
      <c r="J136" s="185" t="str">
        <f t="shared" si="38"/>
        <v>-</v>
      </c>
      <c r="K136" s="41"/>
    </row>
    <row r="137" spans="1:11" s="189" customFormat="1" ht="19.5" hidden="1">
      <c r="A137" s="229">
        <v>2380</v>
      </c>
      <c r="B137" s="231" t="s">
        <v>78</v>
      </c>
      <c r="C137" s="13"/>
      <c r="D137" s="13"/>
      <c r="E137" s="13"/>
      <c r="F137" s="13"/>
      <c r="G137" s="13"/>
      <c r="H137" s="13"/>
      <c r="I137" s="184">
        <f t="shared" si="37"/>
        <v>0</v>
      </c>
      <c r="J137" s="185" t="str">
        <f t="shared" si="38"/>
        <v>-</v>
      </c>
      <c r="K137" s="41"/>
    </row>
    <row r="138" spans="1:11" ht="19.5">
      <c r="A138" s="181">
        <v>2390</v>
      </c>
      <c r="B138" s="231" t="s">
        <v>79</v>
      </c>
      <c r="C138" s="13">
        <v>78</v>
      </c>
      <c r="D138" s="13">
        <v>175</v>
      </c>
      <c r="E138" s="11"/>
      <c r="F138" s="11">
        <v>175</v>
      </c>
      <c r="G138" s="11">
        <v>175</v>
      </c>
      <c r="H138" s="13">
        <v>175</v>
      </c>
      <c r="I138" s="184">
        <f t="shared" si="37"/>
        <v>0</v>
      </c>
      <c r="J138" s="185">
        <f t="shared" si="38"/>
        <v>0</v>
      </c>
      <c r="K138" s="41"/>
    </row>
    <row r="139" spans="1:11" ht="19.5">
      <c r="A139" s="181">
        <v>2500</v>
      </c>
      <c r="B139" s="216" t="s">
        <v>440</v>
      </c>
      <c r="C139" s="210">
        <f>SUM(C140+C148)</f>
        <v>910685</v>
      </c>
      <c r="D139" s="210">
        <f t="shared" ref="D139:H139" si="39">SUM(D140+D148)</f>
        <v>909479</v>
      </c>
      <c r="E139" s="210">
        <f t="shared" si="39"/>
        <v>249243</v>
      </c>
      <c r="F139" s="210">
        <f t="shared" si="39"/>
        <v>445821</v>
      </c>
      <c r="G139" s="210">
        <f t="shared" si="39"/>
        <v>629195</v>
      </c>
      <c r="H139" s="210">
        <f t="shared" si="39"/>
        <v>869755</v>
      </c>
      <c r="I139" s="184">
        <f t="shared" si="37"/>
        <v>-39724</v>
      </c>
      <c r="J139" s="185">
        <f t="shared" si="38"/>
        <v>-4.3677753966831559E-2</v>
      </c>
      <c r="K139" s="186"/>
    </row>
    <row r="140" spans="1:11" ht="19.5">
      <c r="A140" s="181">
        <v>2510</v>
      </c>
      <c r="B140" s="231" t="s">
        <v>441</v>
      </c>
      <c r="C140" s="210">
        <f>SUM(C141:C147)</f>
        <v>910685</v>
      </c>
      <c r="D140" s="210">
        <f t="shared" ref="D140:H140" si="40">SUM(D141:D147)</f>
        <v>909479</v>
      </c>
      <c r="E140" s="210">
        <f t="shared" si="40"/>
        <v>249243</v>
      </c>
      <c r="F140" s="210">
        <f t="shared" si="40"/>
        <v>445821</v>
      </c>
      <c r="G140" s="210">
        <f t="shared" si="40"/>
        <v>629195</v>
      </c>
      <c r="H140" s="210">
        <f t="shared" si="40"/>
        <v>869755</v>
      </c>
      <c r="I140" s="184">
        <f t="shared" si="37"/>
        <v>-39724</v>
      </c>
      <c r="J140" s="185">
        <f t="shared" si="38"/>
        <v>-4.3677753966831559E-2</v>
      </c>
      <c r="K140" s="186"/>
    </row>
    <row r="141" spans="1:11">
      <c r="A141" s="214">
        <v>2512</v>
      </c>
      <c r="B141" s="217" t="s">
        <v>80</v>
      </c>
      <c r="C141" s="15">
        <v>892747</v>
      </c>
      <c r="D141" s="15">
        <v>891679</v>
      </c>
      <c r="E141" s="10">
        <v>244054</v>
      </c>
      <c r="F141" s="10">
        <v>436504</v>
      </c>
      <c r="G141" s="10">
        <v>615972</v>
      </c>
      <c r="H141" s="15">
        <v>851955</v>
      </c>
      <c r="I141" s="192">
        <f t="shared" si="37"/>
        <v>-39724</v>
      </c>
      <c r="J141" s="193">
        <f t="shared" si="38"/>
        <v>-4.4549664172869381E-2</v>
      </c>
      <c r="K141" s="42"/>
    </row>
    <row r="142" spans="1:11">
      <c r="A142" s="214">
        <v>2513</v>
      </c>
      <c r="B142" s="217" t="s">
        <v>442</v>
      </c>
      <c r="C142" s="15">
        <v>11606</v>
      </c>
      <c r="D142" s="15">
        <v>11606</v>
      </c>
      <c r="E142" s="10">
        <v>2901</v>
      </c>
      <c r="F142" s="10">
        <v>5803</v>
      </c>
      <c r="G142" s="10">
        <v>8704</v>
      </c>
      <c r="H142" s="15">
        <v>11606</v>
      </c>
      <c r="I142" s="192">
        <f t="shared" si="37"/>
        <v>0</v>
      </c>
      <c r="J142" s="193">
        <f t="shared" si="38"/>
        <v>0</v>
      </c>
      <c r="K142" s="42"/>
    </row>
    <row r="143" spans="1:11" ht="36" hidden="1" customHeight="1">
      <c r="A143" s="214">
        <v>2514</v>
      </c>
      <c r="B143" s="217" t="s">
        <v>81</v>
      </c>
      <c r="C143" s="15"/>
      <c r="D143" s="15"/>
      <c r="E143" s="10"/>
      <c r="F143" s="10"/>
      <c r="G143" s="10"/>
      <c r="H143" s="15"/>
      <c r="I143" s="192">
        <f t="shared" si="37"/>
        <v>0</v>
      </c>
      <c r="J143" s="193" t="str">
        <f t="shared" si="38"/>
        <v>-</v>
      </c>
      <c r="K143" s="42"/>
    </row>
    <row r="144" spans="1:11">
      <c r="A144" s="214">
        <v>2515</v>
      </c>
      <c r="B144" s="217" t="s">
        <v>82</v>
      </c>
      <c r="C144" s="15">
        <v>3695</v>
      </c>
      <c r="D144" s="15">
        <v>3377</v>
      </c>
      <c r="E144" s="10">
        <v>1602</v>
      </c>
      <c r="F144" s="10">
        <v>2131</v>
      </c>
      <c r="G144" s="10">
        <v>2426</v>
      </c>
      <c r="H144" s="15">
        <v>3377</v>
      </c>
      <c r="I144" s="192">
        <f t="shared" si="37"/>
        <v>0</v>
      </c>
      <c r="J144" s="193">
        <f t="shared" si="38"/>
        <v>0</v>
      </c>
      <c r="K144" s="42"/>
    </row>
    <row r="145" spans="1:11" ht="56.25" hidden="1">
      <c r="A145" s="214">
        <v>2516</v>
      </c>
      <c r="B145" s="217" t="s">
        <v>165</v>
      </c>
      <c r="C145" s="15"/>
      <c r="D145" s="15"/>
      <c r="E145" s="10"/>
      <c r="F145" s="10"/>
      <c r="G145" s="10"/>
      <c r="H145" s="15"/>
      <c r="I145" s="192">
        <f t="shared" si="37"/>
        <v>0</v>
      </c>
      <c r="J145" s="193" t="str">
        <f t="shared" si="38"/>
        <v>-</v>
      </c>
      <c r="K145" s="42"/>
    </row>
    <row r="146" spans="1:11">
      <c r="A146" s="174">
        <v>2518</v>
      </c>
      <c r="B146" s="233" t="s">
        <v>83</v>
      </c>
      <c r="C146" s="232">
        <v>2637</v>
      </c>
      <c r="D146" s="232">
        <v>2817</v>
      </c>
      <c r="E146" s="10">
        <v>686</v>
      </c>
      <c r="F146" s="10">
        <v>1383</v>
      </c>
      <c r="G146" s="10">
        <v>2093</v>
      </c>
      <c r="H146" s="232">
        <v>2817</v>
      </c>
      <c r="I146" s="192">
        <f t="shared" si="37"/>
        <v>0</v>
      </c>
      <c r="J146" s="193">
        <f t="shared" si="38"/>
        <v>0</v>
      </c>
      <c r="K146" s="42"/>
    </row>
    <row r="147" spans="1:11" s="189" customFormat="1" hidden="1">
      <c r="A147" s="214">
        <v>2519</v>
      </c>
      <c r="B147" s="217" t="s">
        <v>84</v>
      </c>
      <c r="C147" s="15"/>
      <c r="D147" s="15"/>
      <c r="E147" s="10"/>
      <c r="F147" s="10"/>
      <c r="G147" s="10"/>
      <c r="H147" s="15"/>
      <c r="I147" s="192">
        <f t="shared" si="37"/>
        <v>0</v>
      </c>
      <c r="J147" s="193" t="str">
        <f t="shared" si="38"/>
        <v>-</v>
      </c>
      <c r="K147" s="42"/>
    </row>
    <row r="148" spans="1:11" ht="37.5" hidden="1">
      <c r="A148" s="211">
        <v>2520</v>
      </c>
      <c r="B148" s="220" t="s">
        <v>443</v>
      </c>
      <c r="C148" s="16"/>
      <c r="D148" s="16"/>
      <c r="E148" s="12"/>
      <c r="F148" s="12"/>
      <c r="G148" s="12"/>
      <c r="H148" s="16"/>
      <c r="I148" s="198">
        <f t="shared" si="37"/>
        <v>0</v>
      </c>
      <c r="J148" s="199" t="str">
        <f t="shared" si="38"/>
        <v>-</v>
      </c>
      <c r="K148" s="43"/>
    </row>
    <row r="149" spans="1:11" ht="56.25" hidden="1">
      <c r="A149" s="211">
        <v>2800</v>
      </c>
      <c r="B149" s="236" t="s">
        <v>85</v>
      </c>
      <c r="C149" s="237"/>
      <c r="D149" s="237"/>
      <c r="E149" s="12"/>
      <c r="F149" s="12"/>
      <c r="G149" s="12"/>
      <c r="H149" s="237"/>
      <c r="I149" s="198">
        <f t="shared" si="37"/>
        <v>0</v>
      </c>
      <c r="J149" s="199" t="str">
        <f t="shared" si="38"/>
        <v>-</v>
      </c>
      <c r="K149" s="43"/>
    </row>
    <row r="150" spans="1:11" ht="19.5" hidden="1">
      <c r="A150" s="181">
        <v>4000</v>
      </c>
      <c r="B150" s="188" t="s">
        <v>86</v>
      </c>
      <c r="C150" s="183">
        <f>C151+C154+C158</f>
        <v>0</v>
      </c>
      <c r="D150" s="183">
        <f t="shared" ref="D150:H150" si="41">D151+D154+D158</f>
        <v>0</v>
      </c>
      <c r="E150" s="183">
        <f t="shared" si="41"/>
        <v>0</v>
      </c>
      <c r="F150" s="183">
        <f t="shared" si="41"/>
        <v>0</v>
      </c>
      <c r="G150" s="183">
        <f t="shared" si="41"/>
        <v>0</v>
      </c>
      <c r="H150" s="183">
        <f t="shared" si="41"/>
        <v>0</v>
      </c>
      <c r="I150" s="184">
        <f t="shared" si="37"/>
        <v>0</v>
      </c>
      <c r="J150" s="185" t="str">
        <f t="shared" si="38"/>
        <v>-</v>
      </c>
      <c r="K150" s="186"/>
    </row>
    <row r="151" spans="1:11" ht="37.5" hidden="1">
      <c r="A151" s="238">
        <v>4100</v>
      </c>
      <c r="B151" s="216" t="s">
        <v>87</v>
      </c>
      <c r="C151" s="210">
        <f>SUM(C152:C153)</f>
        <v>0</v>
      </c>
      <c r="D151" s="210">
        <f t="shared" ref="D151:H151" si="42">SUM(D152:D153)</f>
        <v>0</v>
      </c>
      <c r="E151" s="210">
        <f t="shared" si="42"/>
        <v>0</v>
      </c>
      <c r="F151" s="210">
        <f t="shared" si="42"/>
        <v>0</v>
      </c>
      <c r="G151" s="210">
        <f t="shared" si="42"/>
        <v>0</v>
      </c>
      <c r="H151" s="210">
        <f t="shared" si="42"/>
        <v>0</v>
      </c>
      <c r="I151" s="184">
        <f t="shared" si="37"/>
        <v>0</v>
      </c>
      <c r="J151" s="185" t="str">
        <f t="shared" si="38"/>
        <v>-</v>
      </c>
      <c r="K151" s="186"/>
    </row>
    <row r="152" spans="1:11" ht="56.25" hidden="1">
      <c r="A152" s="239">
        <v>4110</v>
      </c>
      <c r="B152" s="217" t="s">
        <v>354</v>
      </c>
      <c r="C152" s="15"/>
      <c r="D152" s="15"/>
      <c r="E152" s="10"/>
      <c r="F152" s="10"/>
      <c r="G152" s="10"/>
      <c r="H152" s="10"/>
      <c r="I152" s="192">
        <f t="shared" si="37"/>
        <v>0</v>
      </c>
      <c r="J152" s="193" t="str">
        <f t="shared" si="38"/>
        <v>-</v>
      </c>
      <c r="K152" s="42"/>
    </row>
    <row r="153" spans="1:11" ht="56.25" hidden="1">
      <c r="A153" s="239">
        <v>4130</v>
      </c>
      <c r="B153" s="217" t="s">
        <v>88</v>
      </c>
      <c r="C153" s="15"/>
      <c r="D153" s="15"/>
      <c r="E153" s="10"/>
      <c r="F153" s="10"/>
      <c r="G153" s="10"/>
      <c r="H153" s="10"/>
      <c r="I153" s="192">
        <f t="shared" si="37"/>
        <v>0</v>
      </c>
      <c r="J153" s="193" t="str">
        <f t="shared" si="38"/>
        <v>-</v>
      </c>
      <c r="K153" s="42"/>
    </row>
    <row r="154" spans="1:11" ht="19.5" hidden="1">
      <c r="A154" s="238">
        <v>4200</v>
      </c>
      <c r="B154" s="231" t="s">
        <v>89</v>
      </c>
      <c r="C154" s="210">
        <f>SUM(C155:C157)</f>
        <v>0</v>
      </c>
      <c r="D154" s="210">
        <f t="shared" ref="D154:H154" si="43">SUM(D155:D157)</f>
        <v>0</v>
      </c>
      <c r="E154" s="210">
        <f t="shared" si="43"/>
        <v>0</v>
      </c>
      <c r="F154" s="210">
        <f t="shared" si="43"/>
        <v>0</v>
      </c>
      <c r="G154" s="210">
        <f t="shared" si="43"/>
        <v>0</v>
      </c>
      <c r="H154" s="210">
        <f t="shared" si="43"/>
        <v>0</v>
      </c>
      <c r="I154" s="184">
        <f t="shared" si="37"/>
        <v>0</v>
      </c>
      <c r="J154" s="185" t="str">
        <f t="shared" si="38"/>
        <v>-</v>
      </c>
      <c r="K154" s="186"/>
    </row>
    <row r="155" spans="1:11" s="240" customFormat="1" ht="37.5" hidden="1">
      <c r="A155" s="239">
        <v>4230</v>
      </c>
      <c r="B155" s="217" t="s">
        <v>90</v>
      </c>
      <c r="C155" s="15"/>
      <c r="D155" s="15"/>
      <c r="E155" s="10"/>
      <c r="F155" s="10"/>
      <c r="G155" s="10"/>
      <c r="H155" s="10"/>
      <c r="I155" s="192">
        <f t="shared" si="37"/>
        <v>0</v>
      </c>
      <c r="J155" s="193" t="str">
        <f t="shared" si="38"/>
        <v>-</v>
      </c>
      <c r="K155" s="42"/>
    </row>
    <row r="156" spans="1:11" ht="37.5" hidden="1">
      <c r="A156" s="239">
        <v>4240</v>
      </c>
      <c r="B156" s="215" t="s">
        <v>166</v>
      </c>
      <c r="C156" s="15"/>
      <c r="D156" s="15"/>
      <c r="E156" s="10"/>
      <c r="F156" s="10"/>
      <c r="G156" s="10"/>
      <c r="H156" s="10"/>
      <c r="I156" s="192">
        <f t="shared" si="37"/>
        <v>0</v>
      </c>
      <c r="J156" s="193" t="str">
        <f t="shared" si="38"/>
        <v>-</v>
      </c>
      <c r="K156" s="42"/>
    </row>
    <row r="157" spans="1:11" hidden="1">
      <c r="A157" s="239">
        <v>4250</v>
      </c>
      <c r="B157" s="241" t="s">
        <v>167</v>
      </c>
      <c r="C157" s="15"/>
      <c r="D157" s="15"/>
      <c r="E157" s="10"/>
      <c r="F157" s="10"/>
      <c r="G157" s="10"/>
      <c r="H157" s="10"/>
      <c r="I157" s="192">
        <f t="shared" si="37"/>
        <v>0</v>
      </c>
      <c r="J157" s="193" t="str">
        <f t="shared" si="38"/>
        <v>-</v>
      </c>
      <c r="K157" s="42"/>
    </row>
    <row r="158" spans="1:11" ht="19.5" hidden="1">
      <c r="A158" s="181">
        <v>4300</v>
      </c>
      <c r="B158" s="216" t="s">
        <v>91</v>
      </c>
      <c r="C158" s="210">
        <f>SUM(C159:C162)</f>
        <v>0</v>
      </c>
      <c r="D158" s="210">
        <f t="shared" ref="D158:H158" si="44">SUM(D159:D162)</f>
        <v>0</v>
      </c>
      <c r="E158" s="210">
        <f t="shared" si="44"/>
        <v>0</v>
      </c>
      <c r="F158" s="210">
        <f t="shared" si="44"/>
        <v>0</v>
      </c>
      <c r="G158" s="210">
        <f t="shared" si="44"/>
        <v>0</v>
      </c>
      <c r="H158" s="210">
        <f t="shared" si="44"/>
        <v>0</v>
      </c>
      <c r="I158" s="184">
        <f t="shared" si="37"/>
        <v>0</v>
      </c>
      <c r="J158" s="185" t="str">
        <f t="shared" si="38"/>
        <v>-</v>
      </c>
      <c r="K158" s="186"/>
    </row>
    <row r="159" spans="1:11" hidden="1">
      <c r="A159" s="214">
        <v>4310</v>
      </c>
      <c r="B159" s="217" t="s">
        <v>92</v>
      </c>
      <c r="C159" s="15"/>
      <c r="D159" s="15"/>
      <c r="E159" s="10"/>
      <c r="F159" s="10"/>
      <c r="G159" s="10"/>
      <c r="H159" s="10"/>
      <c r="I159" s="192">
        <f t="shared" si="37"/>
        <v>0</v>
      </c>
      <c r="J159" s="193" t="str">
        <f t="shared" si="38"/>
        <v>-</v>
      </c>
      <c r="K159" s="42"/>
    </row>
    <row r="160" spans="1:11" ht="37.5" hidden="1">
      <c r="A160" s="214">
        <v>4330</v>
      </c>
      <c r="B160" s="217" t="s">
        <v>444</v>
      </c>
      <c r="C160" s="15"/>
      <c r="D160" s="15"/>
      <c r="E160" s="10"/>
      <c r="F160" s="10"/>
      <c r="G160" s="10"/>
      <c r="H160" s="10"/>
      <c r="I160" s="192">
        <f t="shared" si="37"/>
        <v>0</v>
      </c>
      <c r="J160" s="193" t="str">
        <f t="shared" si="38"/>
        <v>-</v>
      </c>
      <c r="K160" s="42"/>
    </row>
    <row r="161" spans="1:11" ht="37.5" hidden="1">
      <c r="A161" s="174">
        <v>4340</v>
      </c>
      <c r="B161" s="233" t="s">
        <v>168</v>
      </c>
      <c r="C161" s="232"/>
      <c r="D161" s="232"/>
      <c r="E161" s="10"/>
      <c r="F161" s="10"/>
      <c r="G161" s="10"/>
      <c r="H161" s="10"/>
      <c r="I161" s="192">
        <f t="shared" si="37"/>
        <v>0</v>
      </c>
      <c r="J161" s="193" t="str">
        <f t="shared" si="38"/>
        <v>-</v>
      </c>
      <c r="K161" s="42"/>
    </row>
    <row r="162" spans="1:11" ht="37.5" hidden="1">
      <c r="A162" s="174">
        <v>4390</v>
      </c>
      <c r="B162" s="233" t="s">
        <v>445</v>
      </c>
      <c r="C162" s="232"/>
      <c r="D162" s="232"/>
      <c r="E162" s="10"/>
      <c r="F162" s="10"/>
      <c r="G162" s="10"/>
      <c r="H162" s="10"/>
      <c r="I162" s="192">
        <f t="shared" si="37"/>
        <v>0</v>
      </c>
      <c r="J162" s="193" t="str">
        <f t="shared" si="38"/>
        <v>-</v>
      </c>
      <c r="K162" s="42"/>
    </row>
    <row r="163" spans="1:11" ht="19.5">
      <c r="A163" s="181" t="s">
        <v>93</v>
      </c>
      <c r="B163" s="182" t="s">
        <v>94</v>
      </c>
      <c r="C163" s="183">
        <f t="shared" ref="C163:H163" si="45">C34</f>
        <v>17785965</v>
      </c>
      <c r="D163" s="183">
        <f t="shared" si="45"/>
        <v>17553504</v>
      </c>
      <c r="E163" s="183">
        <f t="shared" si="45"/>
        <v>4546857</v>
      </c>
      <c r="F163" s="183">
        <f t="shared" si="45"/>
        <v>9128777.4000000004</v>
      </c>
      <c r="G163" s="183">
        <f t="shared" si="45"/>
        <v>13608671.4</v>
      </c>
      <c r="H163" s="183">
        <f t="shared" si="45"/>
        <v>18195167.199999999</v>
      </c>
      <c r="I163" s="184">
        <f t="shared" si="37"/>
        <v>641663.19999999925</v>
      </c>
      <c r="J163" s="185">
        <f t="shared" si="38"/>
        <v>3.6554707253890692E-2</v>
      </c>
      <c r="K163" s="186"/>
    </row>
    <row r="164" spans="1:11" ht="37.5">
      <c r="A164" s="181" t="s">
        <v>95</v>
      </c>
      <c r="B164" s="182" t="s">
        <v>351</v>
      </c>
      <c r="C164" s="183">
        <f t="shared" ref="C164:H164" si="46">C3-C163</f>
        <v>868208</v>
      </c>
      <c r="D164" s="183">
        <f t="shared" si="46"/>
        <v>1635697</v>
      </c>
      <c r="E164" s="183">
        <f t="shared" si="46"/>
        <v>343215.17198067624</v>
      </c>
      <c r="F164" s="183">
        <f t="shared" si="46"/>
        <v>504572.80628019199</v>
      </c>
      <c r="G164" s="183">
        <f t="shared" si="46"/>
        <v>683344.43913043477</v>
      </c>
      <c r="H164" s="183">
        <f t="shared" si="46"/>
        <v>1560862.9999999963</v>
      </c>
      <c r="I164" s="184">
        <f t="shared" si="37"/>
        <v>-74834.000000003725</v>
      </c>
      <c r="J164" s="185">
        <f t="shared" si="38"/>
        <v>-4.5750527145310978E-2</v>
      </c>
      <c r="K164" s="186"/>
    </row>
    <row r="165" spans="1:11" ht="19.5">
      <c r="A165" s="242">
        <v>5000</v>
      </c>
      <c r="B165" s="243" t="s">
        <v>96</v>
      </c>
      <c r="C165" s="244">
        <f>C166+C167</f>
        <v>710091</v>
      </c>
      <c r="D165" s="244">
        <f t="shared" ref="D165:H165" si="47">D166+D167</f>
        <v>728804</v>
      </c>
      <c r="E165" s="244">
        <f t="shared" si="47"/>
        <v>198675</v>
      </c>
      <c r="F165" s="244">
        <f t="shared" si="47"/>
        <v>397626</v>
      </c>
      <c r="G165" s="244">
        <f t="shared" si="47"/>
        <v>597680</v>
      </c>
      <c r="H165" s="244">
        <f t="shared" si="47"/>
        <v>796804</v>
      </c>
      <c r="I165" s="184">
        <f t="shared" si="37"/>
        <v>68000</v>
      </c>
      <c r="J165" s="185">
        <f t="shared" si="38"/>
        <v>9.330354937678717E-2</v>
      </c>
      <c r="K165" s="186"/>
    </row>
    <row r="166" spans="1:11">
      <c r="A166" s="245">
        <v>5100</v>
      </c>
      <c r="B166" s="197" t="s">
        <v>446</v>
      </c>
      <c r="C166" s="10">
        <v>24708</v>
      </c>
      <c r="D166" s="10">
        <v>24798</v>
      </c>
      <c r="E166" s="10">
        <v>6157</v>
      </c>
      <c r="F166" s="10">
        <v>12372</v>
      </c>
      <c r="G166" s="10">
        <v>18580</v>
      </c>
      <c r="H166" s="10">
        <v>24798</v>
      </c>
      <c r="I166" s="192">
        <f t="shared" si="37"/>
        <v>0</v>
      </c>
      <c r="J166" s="193">
        <f t="shared" si="38"/>
        <v>0</v>
      </c>
      <c r="K166" s="42"/>
    </row>
    <row r="167" spans="1:11" ht="19.5">
      <c r="A167" s="246">
        <v>5200</v>
      </c>
      <c r="B167" s="188" t="s">
        <v>97</v>
      </c>
      <c r="C167" s="183">
        <f>SUM(C168:C171)</f>
        <v>685383</v>
      </c>
      <c r="D167" s="183">
        <f t="shared" ref="D167:H167" si="48">SUM(D168:D171)</f>
        <v>704006</v>
      </c>
      <c r="E167" s="183">
        <f t="shared" si="48"/>
        <v>192518</v>
      </c>
      <c r="F167" s="183">
        <f t="shared" si="48"/>
        <v>385254</v>
      </c>
      <c r="G167" s="183">
        <f t="shared" si="48"/>
        <v>579100</v>
      </c>
      <c r="H167" s="183">
        <f t="shared" si="48"/>
        <v>772006</v>
      </c>
      <c r="I167" s="184">
        <f t="shared" si="37"/>
        <v>68000</v>
      </c>
      <c r="J167" s="185">
        <f t="shared" si="38"/>
        <v>9.6590085879949883E-2</v>
      </c>
      <c r="K167" s="186"/>
    </row>
    <row r="168" spans="1:11" ht="56.25">
      <c r="A168" s="247">
        <v>5210</v>
      </c>
      <c r="B168" s="191" t="s">
        <v>98</v>
      </c>
      <c r="C168" s="10">
        <v>685383</v>
      </c>
      <c r="D168" s="10">
        <v>704006</v>
      </c>
      <c r="E168" s="10">
        <f>176018+12500+4000</f>
        <v>192518</v>
      </c>
      <c r="F168" s="10">
        <f>351254+9000+25000</f>
        <v>385254</v>
      </c>
      <c r="G168" s="10">
        <f>528100+13500+37500</f>
        <v>579100</v>
      </c>
      <c r="H168" s="10">
        <f>704006+18000+50000</f>
        <v>772006</v>
      </c>
      <c r="I168" s="192">
        <f t="shared" si="37"/>
        <v>68000</v>
      </c>
      <c r="J168" s="193">
        <f t="shared" si="38"/>
        <v>9.6590085879949883E-2</v>
      </c>
      <c r="K168" s="255" t="s">
        <v>645</v>
      </c>
    </row>
    <row r="169" spans="1:11" ht="37.5" hidden="1">
      <c r="A169" s="247">
        <v>5220</v>
      </c>
      <c r="B169" s="191" t="s">
        <v>99</v>
      </c>
      <c r="C169" s="10"/>
      <c r="D169" s="10"/>
      <c r="E169" s="10"/>
      <c r="F169" s="10"/>
      <c r="G169" s="10"/>
      <c r="H169" s="10"/>
      <c r="I169" s="192">
        <f t="shared" si="37"/>
        <v>0</v>
      </c>
      <c r="J169" s="193" t="str">
        <f t="shared" si="38"/>
        <v>-</v>
      </c>
      <c r="K169" s="42"/>
    </row>
    <row r="170" spans="1:11" ht="37.5" hidden="1">
      <c r="A170" s="247">
        <v>5230</v>
      </c>
      <c r="B170" s="191" t="s">
        <v>100</v>
      </c>
      <c r="C170" s="10"/>
      <c r="D170" s="10"/>
      <c r="E170" s="10"/>
      <c r="F170" s="10"/>
      <c r="G170" s="10"/>
      <c r="H170" s="10"/>
      <c r="I170" s="192">
        <f t="shared" si="37"/>
        <v>0</v>
      </c>
      <c r="J170" s="193" t="str">
        <f t="shared" si="38"/>
        <v>-</v>
      </c>
      <c r="K170" s="42"/>
    </row>
    <row r="171" spans="1:11" ht="56.25" hidden="1">
      <c r="A171" s="247">
        <v>5240</v>
      </c>
      <c r="B171" s="191" t="s">
        <v>356</v>
      </c>
      <c r="C171" s="10"/>
      <c r="D171" s="10"/>
      <c r="E171" s="10"/>
      <c r="F171" s="10"/>
      <c r="G171" s="10"/>
      <c r="H171" s="10"/>
      <c r="I171" s="192">
        <f t="shared" si="37"/>
        <v>0</v>
      </c>
      <c r="J171" s="193" t="str">
        <f t="shared" si="38"/>
        <v>-</v>
      </c>
      <c r="K171" s="42"/>
    </row>
    <row r="172" spans="1:11" ht="56.25">
      <c r="A172" s="181" t="s">
        <v>101</v>
      </c>
      <c r="B172" s="182" t="s">
        <v>352</v>
      </c>
      <c r="C172" s="183">
        <f t="shared" ref="C172:H172" si="49">C164-C165</f>
        <v>158117</v>
      </c>
      <c r="D172" s="183">
        <f t="shared" si="49"/>
        <v>906893</v>
      </c>
      <c r="E172" s="183">
        <f t="shared" si="49"/>
        <v>144540.17198067624</v>
      </c>
      <c r="F172" s="183">
        <f t="shared" si="49"/>
        <v>106946.80628019199</v>
      </c>
      <c r="G172" s="183">
        <f t="shared" si="49"/>
        <v>85664.439130434766</v>
      </c>
      <c r="H172" s="183">
        <f t="shared" si="49"/>
        <v>764058.99999999627</v>
      </c>
      <c r="I172" s="184">
        <f t="shared" si="37"/>
        <v>-142834.00000000373</v>
      </c>
      <c r="J172" s="185">
        <f t="shared" si="38"/>
        <v>-0.15749818335790852</v>
      </c>
      <c r="K172" s="186"/>
    </row>
    <row r="173" spans="1:11" ht="19.5">
      <c r="A173" s="248" t="s">
        <v>169</v>
      </c>
      <c r="B173" s="188" t="s">
        <v>102</v>
      </c>
      <c r="C173" s="183">
        <f>SUM(C174:C181)</f>
        <v>20534</v>
      </c>
      <c r="D173" s="183">
        <f t="shared" ref="D173:H173" si="50">SUM(D174:D181)</f>
        <v>26463</v>
      </c>
      <c r="E173" s="183">
        <f t="shared" si="50"/>
        <v>4971</v>
      </c>
      <c r="F173" s="183">
        <f t="shared" si="50"/>
        <v>6239</v>
      </c>
      <c r="G173" s="183">
        <f t="shared" si="50"/>
        <v>6643</v>
      </c>
      <c r="H173" s="183">
        <f t="shared" si="50"/>
        <v>26463</v>
      </c>
      <c r="I173" s="184">
        <f t="shared" si="37"/>
        <v>0</v>
      </c>
      <c r="J173" s="185">
        <f t="shared" si="38"/>
        <v>0</v>
      </c>
      <c r="K173" s="186"/>
    </row>
    <row r="174" spans="1:11">
      <c r="A174" s="249" t="s">
        <v>170</v>
      </c>
      <c r="B174" s="191" t="s">
        <v>103</v>
      </c>
      <c r="C174" s="10"/>
      <c r="D174" s="10"/>
      <c r="E174" s="10"/>
      <c r="F174" s="10"/>
      <c r="G174" s="10"/>
      <c r="H174" s="10"/>
      <c r="I174" s="192">
        <f t="shared" si="37"/>
        <v>0</v>
      </c>
      <c r="J174" s="193" t="str">
        <f t="shared" si="38"/>
        <v>-</v>
      </c>
      <c r="K174" s="42"/>
    </row>
    <row r="175" spans="1:11">
      <c r="A175" s="249" t="s">
        <v>171</v>
      </c>
      <c r="B175" s="191" t="s">
        <v>104</v>
      </c>
      <c r="C175" s="10">
        <v>481</v>
      </c>
      <c r="D175" s="10">
        <v>308</v>
      </c>
      <c r="E175" s="10">
        <v>254</v>
      </c>
      <c r="F175" s="10">
        <v>263</v>
      </c>
      <c r="G175" s="10">
        <v>289</v>
      </c>
      <c r="H175" s="10">
        <v>308</v>
      </c>
      <c r="I175" s="192">
        <f t="shared" si="37"/>
        <v>0</v>
      </c>
      <c r="J175" s="193">
        <f t="shared" si="38"/>
        <v>0</v>
      </c>
      <c r="K175" s="42"/>
    </row>
    <row r="176" spans="1:11" ht="37.5" hidden="1">
      <c r="A176" s="249" t="s">
        <v>172</v>
      </c>
      <c r="B176" s="191" t="s">
        <v>353</v>
      </c>
      <c r="C176" s="10"/>
      <c r="D176" s="10"/>
      <c r="E176" s="10"/>
      <c r="F176" s="10"/>
      <c r="G176" s="10"/>
      <c r="H176" s="10"/>
      <c r="I176" s="192">
        <f t="shared" si="37"/>
        <v>0</v>
      </c>
      <c r="J176" s="193" t="str">
        <f t="shared" si="38"/>
        <v>-</v>
      </c>
      <c r="K176" s="42"/>
    </row>
    <row r="177" spans="1:11" hidden="1">
      <c r="A177" s="249" t="s">
        <v>173</v>
      </c>
      <c r="B177" s="191" t="s">
        <v>105</v>
      </c>
      <c r="C177" s="10"/>
      <c r="D177" s="10"/>
      <c r="E177" s="10"/>
      <c r="F177" s="10"/>
      <c r="G177" s="10"/>
      <c r="H177" s="10"/>
      <c r="I177" s="192">
        <f t="shared" si="37"/>
        <v>0</v>
      </c>
      <c r="J177" s="193" t="str">
        <f t="shared" si="38"/>
        <v>-</v>
      </c>
      <c r="K177" s="42"/>
    </row>
    <row r="178" spans="1:11" hidden="1">
      <c r="A178" s="249" t="s">
        <v>174</v>
      </c>
      <c r="B178" s="191" t="s">
        <v>106</v>
      </c>
      <c r="C178" s="10"/>
      <c r="D178" s="10"/>
      <c r="E178" s="10"/>
      <c r="F178" s="10"/>
      <c r="G178" s="10"/>
      <c r="H178" s="10"/>
      <c r="I178" s="192">
        <f t="shared" si="37"/>
        <v>0</v>
      </c>
      <c r="J178" s="193" t="str">
        <f t="shared" si="38"/>
        <v>-</v>
      </c>
      <c r="K178" s="42"/>
    </row>
    <row r="179" spans="1:11" ht="37.5" hidden="1">
      <c r="A179" s="249" t="s">
        <v>175</v>
      </c>
      <c r="B179" s="191" t="s">
        <v>107</v>
      </c>
      <c r="C179" s="10"/>
      <c r="D179" s="10"/>
      <c r="E179" s="10"/>
      <c r="F179" s="10"/>
      <c r="G179" s="10"/>
      <c r="H179" s="10"/>
      <c r="I179" s="192">
        <f t="shared" si="37"/>
        <v>0</v>
      </c>
      <c r="J179" s="193" t="str">
        <f t="shared" si="38"/>
        <v>-</v>
      </c>
      <c r="K179" s="42"/>
    </row>
    <row r="180" spans="1:11" ht="37.5" hidden="1">
      <c r="A180" s="249" t="s">
        <v>176</v>
      </c>
      <c r="B180" s="191" t="s">
        <v>149</v>
      </c>
      <c r="C180" s="10"/>
      <c r="D180" s="10"/>
      <c r="E180" s="10"/>
      <c r="F180" s="10"/>
      <c r="G180" s="10"/>
      <c r="H180" s="10"/>
      <c r="I180" s="192">
        <f t="shared" si="37"/>
        <v>0</v>
      </c>
      <c r="J180" s="193" t="str">
        <f t="shared" si="38"/>
        <v>-</v>
      </c>
      <c r="K180" s="42"/>
    </row>
    <row r="181" spans="1:11">
      <c r="A181" s="249" t="s">
        <v>177</v>
      </c>
      <c r="B181" s="191" t="s">
        <v>108</v>
      </c>
      <c r="C181" s="10">
        <v>20053</v>
      </c>
      <c r="D181" s="10">
        <v>26155</v>
      </c>
      <c r="E181" s="10">
        <v>4717</v>
      </c>
      <c r="F181" s="10">
        <v>5976</v>
      </c>
      <c r="G181" s="10">
        <v>6354</v>
      </c>
      <c r="H181" s="10">
        <v>26155</v>
      </c>
      <c r="I181" s="192">
        <f t="shared" si="37"/>
        <v>0</v>
      </c>
      <c r="J181" s="193">
        <f t="shared" si="38"/>
        <v>0</v>
      </c>
      <c r="K181" s="42"/>
    </row>
    <row r="182" spans="1:11" ht="19.5">
      <c r="A182" s="181" t="s">
        <v>109</v>
      </c>
      <c r="B182" s="182" t="s">
        <v>110</v>
      </c>
      <c r="C182" s="183">
        <f t="shared" ref="C182:H182" si="51">C3+C173</f>
        <v>18674707</v>
      </c>
      <c r="D182" s="183">
        <f t="shared" si="51"/>
        <v>19215664</v>
      </c>
      <c r="E182" s="183">
        <f t="shared" si="51"/>
        <v>4895043.1719806762</v>
      </c>
      <c r="F182" s="183">
        <f t="shared" si="51"/>
        <v>9639589.2062801924</v>
      </c>
      <c r="G182" s="183">
        <f t="shared" si="51"/>
        <v>14298658.839130435</v>
      </c>
      <c r="H182" s="183">
        <f t="shared" si="51"/>
        <v>19782493.199999996</v>
      </c>
      <c r="I182" s="184">
        <f t="shared" si="37"/>
        <v>566829.19999999553</v>
      </c>
      <c r="J182" s="185">
        <f t="shared" si="38"/>
        <v>2.9498288479648454E-2</v>
      </c>
      <c r="K182" s="186"/>
    </row>
    <row r="183" spans="1:11" ht="19.5">
      <c r="A183" s="222">
        <v>8000</v>
      </c>
      <c r="B183" s="188" t="s">
        <v>111</v>
      </c>
      <c r="C183" s="183">
        <f>SUM(C184:C190)</f>
        <v>39720</v>
      </c>
      <c r="D183" s="183">
        <f t="shared" ref="D183:G183" si="52">SUM(D184:D190)</f>
        <v>335283</v>
      </c>
      <c r="E183" s="183">
        <f t="shared" si="52"/>
        <v>608</v>
      </c>
      <c r="F183" s="183">
        <f t="shared" si="52"/>
        <v>2045</v>
      </c>
      <c r="G183" s="183">
        <f t="shared" si="52"/>
        <v>11882.09</v>
      </c>
      <c r="H183" s="183">
        <f>SUM(H184:H190)</f>
        <v>345681</v>
      </c>
      <c r="I183" s="184">
        <f t="shared" si="37"/>
        <v>10398</v>
      </c>
      <c r="J183" s="185">
        <f t="shared" si="38"/>
        <v>3.1012607260135466E-2</v>
      </c>
      <c r="K183" s="186"/>
    </row>
    <row r="184" spans="1:11">
      <c r="A184" s="214">
        <v>8100</v>
      </c>
      <c r="B184" s="191" t="s">
        <v>178</v>
      </c>
      <c r="C184" s="10"/>
      <c r="D184" s="10"/>
      <c r="E184" s="10"/>
      <c r="F184" s="10"/>
      <c r="G184" s="10"/>
      <c r="H184" s="10"/>
      <c r="I184" s="192">
        <f t="shared" si="37"/>
        <v>0</v>
      </c>
      <c r="J184" s="193" t="str">
        <f t="shared" si="38"/>
        <v>-</v>
      </c>
      <c r="K184" s="42"/>
    </row>
    <row r="185" spans="1:11">
      <c r="A185" s="214">
        <v>8200</v>
      </c>
      <c r="B185" s="191" t="s">
        <v>114</v>
      </c>
      <c r="C185" s="10"/>
      <c r="D185" s="10">
        <v>47</v>
      </c>
      <c r="E185" s="10"/>
      <c r="F185" s="10">
        <v>47</v>
      </c>
      <c r="G185" s="10">
        <v>47</v>
      </c>
      <c r="H185" s="10">
        <v>47</v>
      </c>
      <c r="I185" s="192">
        <f t="shared" si="37"/>
        <v>0</v>
      </c>
      <c r="J185" s="193">
        <f t="shared" si="38"/>
        <v>0</v>
      </c>
      <c r="K185" s="42"/>
    </row>
    <row r="186" spans="1:11">
      <c r="A186" s="214">
        <v>8300</v>
      </c>
      <c r="B186" s="191" t="s">
        <v>113</v>
      </c>
      <c r="C186" s="10">
        <v>22614</v>
      </c>
      <c r="D186" s="10">
        <v>13473</v>
      </c>
      <c r="E186" s="10"/>
      <c r="F186" s="10"/>
      <c r="G186" s="10">
        <v>9087</v>
      </c>
      <c r="H186" s="10">
        <v>13473</v>
      </c>
      <c r="I186" s="192">
        <f t="shared" si="37"/>
        <v>0</v>
      </c>
      <c r="J186" s="193">
        <f t="shared" si="38"/>
        <v>0</v>
      </c>
      <c r="K186" s="42"/>
    </row>
    <row r="187" spans="1:11" ht="37.5">
      <c r="A187" s="214">
        <v>8600</v>
      </c>
      <c r="B187" s="191" t="s">
        <v>179</v>
      </c>
      <c r="C187" s="10">
        <v>615</v>
      </c>
      <c r="D187" s="10">
        <v>39978</v>
      </c>
      <c r="E187" s="10"/>
      <c r="F187" s="10"/>
      <c r="G187" s="10"/>
      <c r="H187" s="10">
        <f>39978+20000</f>
        <v>59978</v>
      </c>
      <c r="I187" s="192">
        <f t="shared" si="37"/>
        <v>20000</v>
      </c>
      <c r="J187" s="193">
        <f>IFERROR(I187/ABS(D187), "-")</f>
        <v>0.5002751513332333</v>
      </c>
      <c r="K187" s="255" t="s">
        <v>644</v>
      </c>
    </row>
    <row r="188" spans="1:11" ht="37.5">
      <c r="A188" s="214">
        <v>8700</v>
      </c>
      <c r="B188" s="191" t="s">
        <v>355</v>
      </c>
      <c r="C188" s="10">
        <v>6933</v>
      </c>
      <c r="D188" s="10">
        <v>274345</v>
      </c>
      <c r="E188" s="10"/>
      <c r="F188" s="10"/>
      <c r="G188" s="10"/>
      <c r="H188" s="10">
        <v>264743</v>
      </c>
      <c r="I188" s="192">
        <f t="shared" si="37"/>
        <v>-9602</v>
      </c>
      <c r="J188" s="193">
        <f t="shared" ref="J188:J193" si="53">IFERROR(I188/ABS(D188), "-")</f>
        <v>-3.4999726621589601E-2</v>
      </c>
      <c r="K188" s="42"/>
    </row>
    <row r="189" spans="1:11">
      <c r="A189" s="214">
        <v>8800</v>
      </c>
      <c r="B189" s="250" t="s">
        <v>112</v>
      </c>
      <c r="C189" s="195">
        <f>9555+3</f>
        <v>9558</v>
      </c>
      <c r="D189" s="195">
        <v>7440</v>
      </c>
      <c r="E189" s="10">
        <v>608</v>
      </c>
      <c r="F189" s="10">
        <v>1998</v>
      </c>
      <c r="G189" s="10">
        <f>3070-294.91-27</f>
        <v>2748.09</v>
      </c>
      <c r="H189" s="195">
        <v>7440</v>
      </c>
      <c r="I189" s="192">
        <f t="shared" si="37"/>
        <v>0</v>
      </c>
      <c r="J189" s="193">
        <f t="shared" si="53"/>
        <v>0</v>
      </c>
      <c r="K189" s="42"/>
    </row>
    <row r="190" spans="1:11" ht="56.25" hidden="1">
      <c r="A190" s="174">
        <v>8900</v>
      </c>
      <c r="B190" s="251" t="s">
        <v>180</v>
      </c>
      <c r="C190" s="195"/>
      <c r="D190" s="195"/>
      <c r="E190" s="10"/>
      <c r="F190" s="10"/>
      <c r="G190" s="10"/>
      <c r="H190" s="195"/>
      <c r="I190" s="192">
        <f t="shared" si="37"/>
        <v>0</v>
      </c>
      <c r="J190" s="193" t="str">
        <f t="shared" si="53"/>
        <v>-</v>
      </c>
      <c r="K190" s="42"/>
    </row>
    <row r="191" spans="1:11" ht="19.5">
      <c r="A191" s="181" t="s">
        <v>115</v>
      </c>
      <c r="B191" s="182" t="s">
        <v>116</v>
      </c>
      <c r="C191" s="183">
        <f t="shared" ref="C191:H191" si="54">C163+C165+C183</f>
        <v>18535776</v>
      </c>
      <c r="D191" s="183">
        <f t="shared" si="54"/>
        <v>18617591</v>
      </c>
      <c r="E191" s="183">
        <f t="shared" si="54"/>
        <v>4746140</v>
      </c>
      <c r="F191" s="183">
        <f t="shared" si="54"/>
        <v>9528448.4000000004</v>
      </c>
      <c r="G191" s="183">
        <f t="shared" si="54"/>
        <v>14218233.49</v>
      </c>
      <c r="H191" s="183">
        <f t="shared" si="54"/>
        <v>19337652.199999999</v>
      </c>
      <c r="I191" s="184">
        <f t="shared" si="37"/>
        <v>720061.19999999925</v>
      </c>
      <c r="J191" s="185">
        <f t="shared" si="53"/>
        <v>3.8676389442651268E-2</v>
      </c>
      <c r="K191" s="186"/>
    </row>
    <row r="192" spans="1:11">
      <c r="A192" s="252" t="s">
        <v>181</v>
      </c>
      <c r="B192" s="253" t="s">
        <v>117</v>
      </c>
      <c r="C192" s="205"/>
      <c r="D192" s="205"/>
      <c r="E192" s="10"/>
      <c r="F192" s="10"/>
      <c r="G192" s="10"/>
      <c r="H192" s="10"/>
      <c r="I192" s="192">
        <f t="shared" si="37"/>
        <v>0</v>
      </c>
      <c r="J192" s="193" t="str">
        <f t="shared" si="53"/>
        <v>-</v>
      </c>
      <c r="K192" s="42"/>
    </row>
    <row r="193" spans="1:11" ht="19.5">
      <c r="A193" s="181" t="s">
        <v>182</v>
      </c>
      <c r="B193" s="182" t="s">
        <v>118</v>
      </c>
      <c r="C193" s="183">
        <f>C172+C173-C183-C192</f>
        <v>138931</v>
      </c>
      <c r="D193" s="183">
        <f t="shared" ref="D193:H193" si="55">D172+D173-D183-D192</f>
        <v>598073</v>
      </c>
      <c r="E193" s="183">
        <f t="shared" si="55"/>
        <v>148903.17198067624</v>
      </c>
      <c r="F193" s="183">
        <f t="shared" si="55"/>
        <v>111140.80628019199</v>
      </c>
      <c r="G193" s="183">
        <f t="shared" si="55"/>
        <v>80425.34913043477</v>
      </c>
      <c r="H193" s="183">
        <f t="shared" si="55"/>
        <v>444840.99999999627</v>
      </c>
      <c r="I193" s="184">
        <f t="shared" si="37"/>
        <v>-153232.00000000373</v>
      </c>
      <c r="J193" s="185">
        <f t="shared" si="53"/>
        <v>-0.25620952626185051</v>
      </c>
      <c r="K193" s="186"/>
    </row>
    <row r="195" spans="1:11">
      <c r="A195" s="393" t="s">
        <v>603</v>
      </c>
      <c r="B195" s="393"/>
      <c r="C195" s="393"/>
      <c r="D195" s="393"/>
      <c r="E195" s="393"/>
      <c r="F195" s="393"/>
      <c r="G195" s="393"/>
      <c r="H195" s="393"/>
      <c r="I195" s="393"/>
      <c r="J195" s="393"/>
      <c r="K195" s="393"/>
    </row>
  </sheetData>
  <mergeCells count="1">
    <mergeCell ref="A195:K195"/>
  </mergeCells>
  <pageMargins left="0.70866141732283472" right="0.70866141732283472" top="0.74803149606299213" bottom="0.74803149606299213"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41"/>
  <sheetViews>
    <sheetView zoomScaleNormal="100" workbookViewId="0">
      <pane xSplit="8" ySplit="10" topLeftCell="I11" activePane="bottomRight" state="frozen"/>
      <selection pane="topRight" activeCell="I1" sqref="I1"/>
      <selection pane="bottomLeft" activeCell="A11" sqref="A11"/>
      <selection pane="bottomRight" activeCell="A131" sqref="A131:XFD132"/>
    </sheetView>
  </sheetViews>
  <sheetFormatPr defaultRowHeight="18.75"/>
  <cols>
    <col min="1" max="1" width="8.42578125" style="125" bestFit="1" customWidth="1"/>
    <col min="2" max="2" width="47.5703125" style="74" customWidth="1"/>
    <col min="3" max="3" width="16.42578125" style="74" customWidth="1"/>
    <col min="4" max="4" width="15.7109375" style="126" customWidth="1"/>
    <col min="5" max="8" width="15" style="74" bestFit="1" customWidth="1"/>
    <col min="9" max="16384" width="9.140625" style="74"/>
  </cols>
  <sheetData>
    <row r="1" spans="1:8" ht="56.25">
      <c r="A1" s="40" t="s">
        <v>0</v>
      </c>
      <c r="B1" s="39" t="s">
        <v>475</v>
      </c>
      <c r="C1" s="1" t="s">
        <v>474</v>
      </c>
      <c r="D1" s="1" t="s">
        <v>469</v>
      </c>
      <c r="E1" s="1" t="s">
        <v>470</v>
      </c>
      <c r="F1" s="1" t="s">
        <v>471</v>
      </c>
      <c r="G1" s="1" t="s">
        <v>472</v>
      </c>
      <c r="H1" s="1" t="s">
        <v>473</v>
      </c>
    </row>
    <row r="2" spans="1:8">
      <c r="A2" s="40">
        <v>1</v>
      </c>
      <c r="B2" s="40">
        <v>2</v>
      </c>
      <c r="C2" s="40">
        <v>3</v>
      </c>
      <c r="D2" s="40">
        <v>4</v>
      </c>
      <c r="E2" s="40">
        <v>5</v>
      </c>
      <c r="F2" s="40">
        <v>6</v>
      </c>
      <c r="G2" s="40">
        <v>7</v>
      </c>
      <c r="H2" s="40">
        <v>8</v>
      </c>
    </row>
    <row r="3" spans="1:8" ht="37.5">
      <c r="A3" s="75">
        <v>10000</v>
      </c>
      <c r="B3" s="76" t="s">
        <v>183</v>
      </c>
      <c r="C3" s="164">
        <v>577854</v>
      </c>
      <c r="D3" s="78">
        <f>C3</f>
        <v>577854</v>
      </c>
      <c r="E3" s="77">
        <f ca="1">D133</f>
        <v>2652150</v>
      </c>
      <c r="F3" s="77">
        <f ca="1">D133</f>
        <v>2652150</v>
      </c>
      <c r="G3" s="77">
        <f ca="1">D133</f>
        <v>2652150</v>
      </c>
      <c r="H3" s="77">
        <f ca="1">D133</f>
        <v>2652150</v>
      </c>
    </row>
    <row r="4" spans="1:8">
      <c r="A4" s="123" t="s">
        <v>192</v>
      </c>
      <c r="B4" s="394" t="s">
        <v>184</v>
      </c>
      <c r="C4" s="394"/>
      <c r="D4" s="394"/>
      <c r="E4" s="394"/>
      <c r="F4" s="394"/>
      <c r="G4" s="394"/>
      <c r="H4" s="394"/>
    </row>
    <row r="5" spans="1:8">
      <c r="A5" s="79">
        <v>11000</v>
      </c>
      <c r="B5" s="80" t="s">
        <v>185</v>
      </c>
      <c r="C5" s="81">
        <f>C6+C24+C27+C31+C32+C33</f>
        <v>18271631</v>
      </c>
      <c r="D5" s="81">
        <f t="shared" ref="D5:H5" si="0">D6+D24+D27+D31+D32+D33</f>
        <v>19705900</v>
      </c>
      <c r="E5" s="81">
        <f t="shared" si="0"/>
        <v>4856054</v>
      </c>
      <c r="F5" s="81">
        <f t="shared" si="0"/>
        <v>9557335</v>
      </c>
      <c r="G5" s="81">
        <f t="shared" si="0"/>
        <v>13935731</v>
      </c>
      <c r="H5" s="81">
        <f t="shared" si="0"/>
        <v>19622629</v>
      </c>
    </row>
    <row r="6" spans="1:8">
      <c r="A6" s="82">
        <v>11100</v>
      </c>
      <c r="B6" s="83" t="s">
        <v>186</v>
      </c>
      <c r="C6" s="84">
        <f>C7+C12+C15+C18+C23</f>
        <v>15557491</v>
      </c>
      <c r="D6" s="84">
        <f t="shared" ref="D6:H6" si="1">D7+D12+D15+D18+D23</f>
        <v>15903914</v>
      </c>
      <c r="E6" s="84">
        <f t="shared" si="1"/>
        <v>4197238</v>
      </c>
      <c r="F6" s="84">
        <f t="shared" si="1"/>
        <v>8307823</v>
      </c>
      <c r="G6" s="84">
        <f t="shared" si="1"/>
        <v>12358177</v>
      </c>
      <c r="H6" s="84">
        <f t="shared" si="1"/>
        <v>17099462</v>
      </c>
    </row>
    <row r="7" spans="1:8" s="85" customFormat="1" ht="37.5">
      <c r="A7" s="82">
        <v>11110</v>
      </c>
      <c r="B7" s="83" t="s">
        <v>121</v>
      </c>
      <c r="C7" s="84">
        <f>SUM(C8:C11)</f>
        <v>15115571</v>
      </c>
      <c r="D7" s="84">
        <f t="shared" ref="D7:H7" si="2">SUM(D8:D11)</f>
        <v>15470286</v>
      </c>
      <c r="E7" s="84">
        <f t="shared" si="2"/>
        <v>4075239</v>
      </c>
      <c r="F7" s="84">
        <f t="shared" si="2"/>
        <v>8060410</v>
      </c>
      <c r="G7" s="84">
        <f t="shared" si="2"/>
        <v>11994901</v>
      </c>
      <c r="H7" s="84">
        <f t="shared" si="2"/>
        <v>16584772</v>
      </c>
    </row>
    <row r="8" spans="1:8">
      <c r="A8" s="124">
        <v>11111</v>
      </c>
      <c r="B8" s="3" t="s">
        <v>5</v>
      </c>
      <c r="C8" s="44">
        <v>13847732</v>
      </c>
      <c r="D8" s="44">
        <v>14121129</v>
      </c>
      <c r="E8" s="44">
        <v>3737151</v>
      </c>
      <c r="F8" s="44">
        <v>7381693</v>
      </c>
      <c r="G8" s="44">
        <v>10976236</v>
      </c>
      <c r="H8" s="44">
        <v>15217293</v>
      </c>
    </row>
    <row r="9" spans="1:8" ht="37.5">
      <c r="A9" s="124">
        <v>11112</v>
      </c>
      <c r="B9" s="3" t="s">
        <v>6</v>
      </c>
      <c r="C9" s="44">
        <v>81455</v>
      </c>
      <c r="D9" s="44">
        <v>140587</v>
      </c>
      <c r="E9" s="44">
        <v>13928</v>
      </c>
      <c r="F9" s="44">
        <v>27849</v>
      </c>
      <c r="G9" s="44">
        <v>39759</v>
      </c>
      <c r="H9" s="44">
        <v>60635</v>
      </c>
    </row>
    <row r="10" spans="1:8">
      <c r="A10" s="124">
        <v>11113</v>
      </c>
      <c r="B10" s="3" t="s">
        <v>7</v>
      </c>
      <c r="C10" s="44">
        <v>1159122</v>
      </c>
      <c r="D10" s="44">
        <v>1194487</v>
      </c>
      <c r="E10" s="44">
        <v>318364</v>
      </c>
      <c r="F10" s="44">
        <v>638267</v>
      </c>
      <c r="G10" s="44">
        <v>959708</v>
      </c>
      <c r="H10" s="44">
        <v>1281661</v>
      </c>
    </row>
    <row r="11" spans="1:8" ht="37.5">
      <c r="A11" s="124">
        <v>11114</v>
      </c>
      <c r="B11" s="3" t="s">
        <v>303</v>
      </c>
      <c r="C11" s="44">
        <v>27262</v>
      </c>
      <c r="D11" s="44">
        <v>14083</v>
      </c>
      <c r="E11" s="44">
        <v>5796</v>
      </c>
      <c r="F11" s="44">
        <v>12601</v>
      </c>
      <c r="G11" s="44">
        <v>19198</v>
      </c>
      <c r="H11" s="44">
        <v>25183</v>
      </c>
    </row>
    <row r="12" spans="1:8" s="86" customFormat="1" ht="37.5" hidden="1">
      <c r="A12" s="82">
        <v>11120</v>
      </c>
      <c r="B12" s="2" t="s">
        <v>127</v>
      </c>
      <c r="C12" s="84">
        <f>SUM(C13:C14)</f>
        <v>0</v>
      </c>
      <c r="D12" s="84">
        <f t="shared" ref="D12:H12" si="3">SUM(D13:D14)</f>
        <v>0</v>
      </c>
      <c r="E12" s="84">
        <f t="shared" si="3"/>
        <v>0</v>
      </c>
      <c r="F12" s="84">
        <f t="shared" si="3"/>
        <v>0</v>
      </c>
      <c r="G12" s="84">
        <f t="shared" si="3"/>
        <v>0</v>
      </c>
      <c r="H12" s="84">
        <f t="shared" si="3"/>
        <v>0</v>
      </c>
    </row>
    <row r="13" spans="1:8" hidden="1">
      <c r="A13" s="124">
        <v>11121</v>
      </c>
      <c r="B13" s="3" t="s">
        <v>129</v>
      </c>
      <c r="C13" s="44"/>
      <c r="D13" s="44"/>
      <c r="E13" s="44"/>
      <c r="F13" s="44"/>
      <c r="G13" s="44"/>
      <c r="H13" s="44"/>
    </row>
    <row r="14" spans="1:8" hidden="1">
      <c r="A14" s="124">
        <v>11122</v>
      </c>
      <c r="B14" s="3" t="s">
        <v>131</v>
      </c>
      <c r="C14" s="44"/>
      <c r="D14" s="44"/>
      <c r="E14" s="44"/>
      <c r="F14" s="44"/>
      <c r="G14" s="44"/>
      <c r="H14" s="44"/>
    </row>
    <row r="15" spans="1:8" s="86" customFormat="1" ht="37.5">
      <c r="A15" s="82">
        <v>11130</v>
      </c>
      <c r="B15" s="2" t="s">
        <v>133</v>
      </c>
      <c r="C15" s="84">
        <f>SUM(C16:C17)</f>
        <v>441920</v>
      </c>
      <c r="D15" s="84">
        <f t="shared" ref="D15:H15" si="4">SUM(D16:D17)</f>
        <v>433628</v>
      </c>
      <c r="E15" s="84">
        <f t="shared" si="4"/>
        <v>121999</v>
      </c>
      <c r="F15" s="84">
        <f t="shared" si="4"/>
        <v>247413</v>
      </c>
      <c r="G15" s="84">
        <f t="shared" si="4"/>
        <v>363276</v>
      </c>
      <c r="H15" s="84">
        <f t="shared" si="4"/>
        <v>514690</v>
      </c>
    </row>
    <row r="16" spans="1:8">
      <c r="A16" s="124">
        <v>11131</v>
      </c>
      <c r="B16" s="3" t="s">
        <v>135</v>
      </c>
      <c r="C16" s="44">
        <v>441920</v>
      </c>
      <c r="D16" s="44">
        <v>433628</v>
      </c>
      <c r="E16" s="44">
        <v>121999</v>
      </c>
      <c r="F16" s="44">
        <v>247413</v>
      </c>
      <c r="G16" s="44">
        <v>363276</v>
      </c>
      <c r="H16" s="44">
        <v>514690</v>
      </c>
    </row>
    <row r="17" spans="1:8" ht="37.5" hidden="1">
      <c r="A17" s="124">
        <v>11132</v>
      </c>
      <c r="B17" s="3" t="s">
        <v>11</v>
      </c>
      <c r="C17" s="44"/>
      <c r="D17" s="44"/>
      <c r="E17" s="44"/>
      <c r="F17" s="44"/>
      <c r="G17" s="44"/>
      <c r="H17" s="44"/>
    </row>
    <row r="18" spans="1:8" s="86" customFormat="1" ht="19.5" hidden="1">
      <c r="A18" s="82">
        <v>11140</v>
      </c>
      <c r="B18" s="2" t="s">
        <v>108</v>
      </c>
      <c r="C18" s="84">
        <f>SUM(C19:C22)</f>
        <v>0</v>
      </c>
      <c r="D18" s="84">
        <f t="shared" ref="D18:H18" si="5">SUM(D19:D22)</f>
        <v>0</v>
      </c>
      <c r="E18" s="84">
        <f t="shared" si="5"/>
        <v>0</v>
      </c>
      <c r="F18" s="84">
        <f t="shared" si="5"/>
        <v>0</v>
      </c>
      <c r="G18" s="84">
        <f t="shared" si="5"/>
        <v>0</v>
      </c>
      <c r="H18" s="84">
        <f t="shared" si="5"/>
        <v>0</v>
      </c>
    </row>
    <row r="19" spans="1:8" ht="37.5" hidden="1">
      <c r="A19" s="124">
        <v>11141</v>
      </c>
      <c r="B19" s="3" t="s">
        <v>9</v>
      </c>
      <c r="C19" s="44"/>
      <c r="D19" s="44"/>
      <c r="E19" s="44"/>
      <c r="F19" s="44"/>
      <c r="G19" s="44"/>
      <c r="H19" s="44"/>
    </row>
    <row r="20" spans="1:8" ht="37.5" hidden="1">
      <c r="A20" s="124">
        <v>11142</v>
      </c>
      <c r="B20" s="3" t="s">
        <v>476</v>
      </c>
      <c r="C20" s="44"/>
      <c r="D20" s="44"/>
      <c r="E20" s="44"/>
      <c r="F20" s="44"/>
      <c r="G20" s="44"/>
      <c r="H20" s="44"/>
    </row>
    <row r="21" spans="1:8" ht="56.25" hidden="1">
      <c r="A21" s="124">
        <v>11143</v>
      </c>
      <c r="B21" s="3" t="s">
        <v>12</v>
      </c>
      <c r="C21" s="44"/>
      <c r="D21" s="44"/>
      <c r="E21" s="44"/>
      <c r="F21" s="44"/>
      <c r="G21" s="44"/>
      <c r="H21" s="44"/>
    </row>
    <row r="22" spans="1:8" hidden="1">
      <c r="A22" s="124">
        <v>11144</v>
      </c>
      <c r="B22" s="3" t="s">
        <v>13</v>
      </c>
      <c r="C22" s="44"/>
      <c r="D22" s="44"/>
      <c r="E22" s="44"/>
      <c r="F22" s="44"/>
      <c r="G22" s="44"/>
      <c r="H22" s="44"/>
    </row>
    <row r="23" spans="1:8" ht="37.5" hidden="1">
      <c r="A23" s="82">
        <v>11150</v>
      </c>
      <c r="B23" s="2" t="s">
        <v>415</v>
      </c>
      <c r="C23" s="47"/>
      <c r="D23" s="47"/>
      <c r="E23" s="47"/>
      <c r="F23" s="47"/>
      <c r="G23" s="47"/>
      <c r="H23" s="47"/>
    </row>
    <row r="24" spans="1:8" hidden="1">
      <c r="A24" s="82">
        <v>11200</v>
      </c>
      <c r="B24" s="2" t="s">
        <v>14</v>
      </c>
      <c r="C24" s="37">
        <f>C25+C26</f>
        <v>0</v>
      </c>
      <c r="D24" s="37">
        <f t="shared" ref="D24:H24" si="6">D25+D26</f>
        <v>0</v>
      </c>
      <c r="E24" s="37">
        <f t="shared" si="6"/>
        <v>0</v>
      </c>
      <c r="F24" s="37">
        <f t="shared" si="6"/>
        <v>0</v>
      </c>
      <c r="G24" s="37">
        <f>G25+G26</f>
        <v>0</v>
      </c>
      <c r="H24" s="37">
        <f t="shared" si="6"/>
        <v>0</v>
      </c>
    </row>
    <row r="25" spans="1:8" hidden="1">
      <c r="A25" s="107">
        <v>11210</v>
      </c>
      <c r="B25" s="55" t="s">
        <v>417</v>
      </c>
      <c r="C25" s="46"/>
      <c r="D25" s="46"/>
      <c r="E25" s="46"/>
      <c r="F25" s="46"/>
      <c r="G25" s="46"/>
      <c r="H25" s="46"/>
    </row>
    <row r="26" spans="1:8" hidden="1">
      <c r="A26" s="107">
        <v>11220</v>
      </c>
      <c r="B26" s="55" t="s">
        <v>418</v>
      </c>
      <c r="C26" s="46"/>
      <c r="D26" s="46"/>
      <c r="E26" s="46"/>
      <c r="F26" s="46"/>
      <c r="G26" s="46"/>
      <c r="H26" s="46"/>
    </row>
    <row r="27" spans="1:8">
      <c r="A27" s="82">
        <v>11300</v>
      </c>
      <c r="B27" s="36" t="s">
        <v>187</v>
      </c>
      <c r="C27" s="37">
        <f>SUM(C28:C30)</f>
        <v>1770447</v>
      </c>
      <c r="D27" s="37">
        <f t="shared" ref="D27:H27" si="7">SUM(D28:D30)</f>
        <v>2823029</v>
      </c>
      <c r="E27" s="37">
        <f t="shared" si="7"/>
        <v>435958</v>
      </c>
      <c r="F27" s="37">
        <f t="shared" si="7"/>
        <v>820464</v>
      </c>
      <c r="G27" s="37">
        <f>SUM(G28:G30)</f>
        <v>1190163</v>
      </c>
      <c r="H27" s="37">
        <f t="shared" si="7"/>
        <v>1693435</v>
      </c>
    </row>
    <row r="28" spans="1:8">
      <c r="A28" s="124">
        <v>11310</v>
      </c>
      <c r="B28" s="3" t="s">
        <v>145</v>
      </c>
      <c r="C28" s="44">
        <v>1485628</v>
      </c>
      <c r="D28" s="44">
        <v>1405996</v>
      </c>
      <c r="E28" s="44">
        <v>308962</v>
      </c>
      <c r="F28" s="44">
        <v>584476</v>
      </c>
      <c r="G28" s="44">
        <v>857521</v>
      </c>
      <c r="H28" s="44">
        <v>1158240</v>
      </c>
    </row>
    <row r="29" spans="1:8">
      <c r="A29" s="124">
        <v>11320</v>
      </c>
      <c r="B29" s="3" t="s">
        <v>146</v>
      </c>
      <c r="C29" s="44"/>
      <c r="D29" s="44"/>
      <c r="E29" s="44"/>
      <c r="F29" s="44"/>
      <c r="G29" s="44"/>
      <c r="H29" s="44"/>
    </row>
    <row r="30" spans="1:8" ht="18.75" customHeight="1">
      <c r="A30" s="124">
        <v>11330</v>
      </c>
      <c r="B30" s="3" t="s">
        <v>16</v>
      </c>
      <c r="C30" s="44">
        <v>284819</v>
      </c>
      <c r="D30" s="44">
        <f>1414161+2872</f>
        <v>1417033</v>
      </c>
      <c r="E30" s="44">
        <f>70923+51102+4971</f>
        <v>126996</v>
      </c>
      <c r="F30" s="44">
        <f>128441+6239+101308</f>
        <v>235988</v>
      </c>
      <c r="G30" s="44">
        <f>176934+149065+6643</f>
        <v>332642</v>
      </c>
      <c r="H30" s="44">
        <f>236315+272417+26463</f>
        <v>535195</v>
      </c>
    </row>
    <row r="31" spans="1:8" ht="37.5">
      <c r="A31" s="107">
        <v>11400</v>
      </c>
      <c r="B31" s="117" t="s">
        <v>17</v>
      </c>
      <c r="C31" s="45">
        <v>406004</v>
      </c>
      <c r="D31" s="45">
        <v>429445</v>
      </c>
      <c r="E31" s="45">
        <v>97960</v>
      </c>
      <c r="F31" s="45">
        <v>185972</v>
      </c>
      <c r="G31" s="45">
        <v>26534</v>
      </c>
      <c r="H31" s="45">
        <v>355133</v>
      </c>
    </row>
    <row r="32" spans="1:8" ht="37.5">
      <c r="A32" s="107">
        <v>11500</v>
      </c>
      <c r="B32" s="117" t="s">
        <v>302</v>
      </c>
      <c r="C32" s="45">
        <v>362541</v>
      </c>
      <c r="D32" s="45">
        <v>375759</v>
      </c>
      <c r="E32" s="45">
        <v>80242</v>
      </c>
      <c r="F32" s="45">
        <v>159388</v>
      </c>
      <c r="G32" s="45">
        <v>241708</v>
      </c>
      <c r="H32" s="45">
        <v>317022</v>
      </c>
    </row>
    <row r="33" spans="1:8" ht="19.5" customHeight="1">
      <c r="A33" s="107">
        <v>11600</v>
      </c>
      <c r="B33" s="5" t="s">
        <v>20</v>
      </c>
      <c r="C33" s="45">
        <v>175148</v>
      </c>
      <c r="D33" s="45">
        <v>173753</v>
      </c>
      <c r="E33" s="45">
        <v>44656</v>
      </c>
      <c r="F33" s="45">
        <v>83688</v>
      </c>
      <c r="G33" s="45">
        <v>119149</v>
      </c>
      <c r="H33" s="45">
        <v>157577</v>
      </c>
    </row>
    <row r="34" spans="1:8">
      <c r="A34" s="79">
        <v>12000</v>
      </c>
      <c r="B34" s="80" t="s">
        <v>188</v>
      </c>
      <c r="C34" s="87">
        <f>C35+C42</f>
        <v>17718139</v>
      </c>
      <c r="D34" s="87">
        <f t="shared" ref="D34:H34" si="8">D35+D42</f>
        <v>16962798</v>
      </c>
      <c r="E34" s="87">
        <f t="shared" si="8"/>
        <v>4547464</v>
      </c>
      <c r="F34" s="87">
        <f t="shared" si="8"/>
        <v>9130822</v>
      </c>
      <c r="G34" s="87">
        <f t="shared" si="8"/>
        <v>13381747</v>
      </c>
      <c r="H34" s="87">
        <f t="shared" si="8"/>
        <v>18540848</v>
      </c>
    </row>
    <row r="35" spans="1:8">
      <c r="A35" s="82">
        <v>12100</v>
      </c>
      <c r="B35" s="83" t="s">
        <v>189</v>
      </c>
      <c r="C35" s="37">
        <f>C36+C37+C38+C39+C40+C41</f>
        <v>16789048</v>
      </c>
      <c r="D35" s="37">
        <f t="shared" ref="D35:H35" si="9">D36+D37+D38+D39+D40+D41</f>
        <v>15857136</v>
      </c>
      <c r="E35" s="37">
        <f t="shared" si="9"/>
        <v>4298221</v>
      </c>
      <c r="F35" s="37">
        <f t="shared" si="9"/>
        <v>8685001</v>
      </c>
      <c r="G35" s="37">
        <f>G36+G37+G38+G39+G40+G41</f>
        <v>12752552</v>
      </c>
      <c r="H35" s="37">
        <f t="shared" si="9"/>
        <v>17671093</v>
      </c>
    </row>
    <row r="36" spans="1:8">
      <c r="A36" s="124">
        <v>12110</v>
      </c>
      <c r="B36" s="97" t="s">
        <v>304</v>
      </c>
      <c r="C36" s="44">
        <v>7672806</v>
      </c>
      <c r="D36" s="44">
        <v>7463010</v>
      </c>
      <c r="E36" s="44">
        <v>1990203</v>
      </c>
      <c r="F36" s="44">
        <v>4204862</v>
      </c>
      <c r="G36" s="44">
        <v>6308695</v>
      </c>
      <c r="H36" s="44">
        <v>8507297</v>
      </c>
    </row>
    <row r="37" spans="1:8" ht="75">
      <c r="A37" s="124">
        <v>12120</v>
      </c>
      <c r="B37" s="97" t="s">
        <v>305</v>
      </c>
      <c r="C37" s="44">
        <v>1936967</v>
      </c>
      <c r="D37" s="44">
        <v>1902635</v>
      </c>
      <c r="E37" s="44">
        <v>510532</v>
      </c>
      <c r="F37" s="44">
        <v>1053506</v>
      </c>
      <c r="G37" s="44">
        <v>1577685</v>
      </c>
      <c r="H37" s="44">
        <v>2120952</v>
      </c>
    </row>
    <row r="38" spans="1:8" ht="37.5">
      <c r="A38" s="124">
        <v>12130</v>
      </c>
      <c r="B38" s="97" t="s">
        <v>306</v>
      </c>
      <c r="C38" s="44"/>
      <c r="D38" s="44">
        <v>4931</v>
      </c>
      <c r="E38" s="44">
        <v>1091</v>
      </c>
      <c r="F38" s="44">
        <v>4447</v>
      </c>
      <c r="G38" s="44">
        <v>4447</v>
      </c>
      <c r="H38" s="44">
        <v>7750</v>
      </c>
    </row>
    <row r="39" spans="1:8">
      <c r="A39" s="124">
        <v>12140</v>
      </c>
      <c r="B39" s="97" t="s">
        <v>307</v>
      </c>
      <c r="C39" s="44">
        <v>1392264</v>
      </c>
      <c r="D39" s="44">
        <v>1311420</v>
      </c>
      <c r="E39" s="44">
        <f>391304+608</f>
        <v>391912</v>
      </c>
      <c r="F39" s="44">
        <f>770888+2045</f>
        <v>772933</v>
      </c>
      <c r="G39" s="44">
        <f>1083362+11882</f>
        <v>1095244</v>
      </c>
      <c r="H39" s="44">
        <f>1533838+345681</f>
        <v>1879519</v>
      </c>
    </row>
    <row r="40" spans="1:8" ht="55.5" customHeight="1">
      <c r="A40" s="124">
        <v>12150</v>
      </c>
      <c r="B40" s="97" t="s">
        <v>308</v>
      </c>
      <c r="C40" s="44">
        <v>294932</v>
      </c>
      <c r="D40" s="44">
        <v>275610</v>
      </c>
      <c r="E40" s="44">
        <f>1404483-1336010</f>
        <v>68473</v>
      </c>
      <c r="F40" s="44">
        <f>2649253-2513837</f>
        <v>135416</v>
      </c>
      <c r="G40" s="44">
        <f>3766481-3574229</f>
        <v>192252</v>
      </c>
      <c r="H40" s="44">
        <f>5155575-4892574</f>
        <v>263001</v>
      </c>
    </row>
    <row r="41" spans="1:8" ht="75">
      <c r="A41" s="124">
        <v>12160</v>
      </c>
      <c r="B41" s="97" t="s">
        <v>309</v>
      </c>
      <c r="C41" s="44">
        <v>5492079</v>
      </c>
      <c r="D41" s="44">
        <v>4899530</v>
      </c>
      <c r="E41" s="44">
        <v>1336010</v>
      </c>
      <c r="F41" s="44">
        <v>2513837</v>
      </c>
      <c r="G41" s="44">
        <v>3574229</v>
      </c>
      <c r="H41" s="44">
        <v>4892574</v>
      </c>
    </row>
    <row r="42" spans="1:8" ht="37.5">
      <c r="A42" s="82">
        <v>12200</v>
      </c>
      <c r="B42" s="83" t="s">
        <v>190</v>
      </c>
      <c r="C42" s="37">
        <f>C43+C44</f>
        <v>929091</v>
      </c>
      <c r="D42" s="37">
        <f t="shared" ref="D42:H42" si="10">D43+D44</f>
        <v>1105662</v>
      </c>
      <c r="E42" s="37">
        <f t="shared" si="10"/>
        <v>249243</v>
      </c>
      <c r="F42" s="37">
        <f t="shared" si="10"/>
        <v>445821</v>
      </c>
      <c r="G42" s="37">
        <f t="shared" si="10"/>
        <v>629195</v>
      </c>
      <c r="H42" s="37">
        <f t="shared" si="10"/>
        <v>869755</v>
      </c>
    </row>
    <row r="43" spans="1:8" ht="18" customHeight="1">
      <c r="A43" s="124">
        <v>12210</v>
      </c>
      <c r="B43" s="97" t="s">
        <v>310</v>
      </c>
      <c r="C43" s="44"/>
      <c r="D43" s="44"/>
      <c r="E43" s="44"/>
      <c r="F43" s="44"/>
      <c r="G43" s="44"/>
      <c r="H43" s="44"/>
    </row>
    <row r="44" spans="1:8">
      <c r="A44" s="124">
        <v>12220</v>
      </c>
      <c r="B44" s="97" t="s">
        <v>311</v>
      </c>
      <c r="C44" s="44">
        <v>929091</v>
      </c>
      <c r="D44" s="44">
        <v>1105662</v>
      </c>
      <c r="E44" s="44">
        <v>249243</v>
      </c>
      <c r="F44" s="44">
        <v>445821</v>
      </c>
      <c r="G44" s="44">
        <v>629195</v>
      </c>
      <c r="H44" s="44">
        <v>869755</v>
      </c>
    </row>
    <row r="45" spans="1:8" ht="37.5">
      <c r="A45" s="79">
        <v>13000</v>
      </c>
      <c r="B45" s="88" t="s">
        <v>191</v>
      </c>
      <c r="C45" s="87">
        <f>C5-C34</f>
        <v>553492</v>
      </c>
      <c r="D45" s="87">
        <f t="shared" ref="D45:H45" si="11">D5-D34</f>
        <v>2743102</v>
      </c>
      <c r="E45" s="87">
        <f t="shared" si="11"/>
        <v>308590</v>
      </c>
      <c r="F45" s="87">
        <f t="shared" si="11"/>
        <v>426513</v>
      </c>
      <c r="G45" s="87">
        <f t="shared" si="11"/>
        <v>553984</v>
      </c>
      <c r="H45" s="87">
        <f t="shared" si="11"/>
        <v>1081781</v>
      </c>
    </row>
    <row r="46" spans="1:8">
      <c r="A46" s="123" t="s">
        <v>197</v>
      </c>
      <c r="B46" s="394" t="s">
        <v>193</v>
      </c>
      <c r="C46" s="394"/>
      <c r="D46" s="394"/>
      <c r="E46" s="394"/>
      <c r="F46" s="394"/>
      <c r="G46" s="394"/>
      <c r="H46" s="394"/>
    </row>
    <row r="47" spans="1:8">
      <c r="A47" s="89">
        <v>14000</v>
      </c>
      <c r="B47" s="90" t="s">
        <v>318</v>
      </c>
      <c r="C47" s="91">
        <f>C48+C49+C50+C51+C52</f>
        <v>0</v>
      </c>
      <c r="D47" s="91">
        <f t="shared" ref="D47:H47" si="12">D48+D49+D50+D51+D52</f>
        <v>0</v>
      </c>
      <c r="E47" s="91">
        <f t="shared" si="12"/>
        <v>0</v>
      </c>
      <c r="F47" s="91">
        <f t="shared" si="12"/>
        <v>0</v>
      </c>
      <c r="G47" s="91">
        <f t="shared" si="12"/>
        <v>0</v>
      </c>
      <c r="H47" s="91">
        <f t="shared" si="12"/>
        <v>0</v>
      </c>
    </row>
    <row r="48" spans="1:8" ht="56.25" hidden="1">
      <c r="A48" s="99">
        <v>14100</v>
      </c>
      <c r="B48" s="100" t="s">
        <v>314</v>
      </c>
      <c r="C48" s="127"/>
      <c r="D48" s="127"/>
      <c r="E48" s="127"/>
      <c r="F48" s="127"/>
      <c r="G48" s="127"/>
      <c r="H48" s="127"/>
    </row>
    <row r="49" spans="1:8" ht="37.5" hidden="1" customHeight="1">
      <c r="A49" s="99">
        <v>14200</v>
      </c>
      <c r="B49" s="100" t="s">
        <v>194</v>
      </c>
      <c r="C49" s="127"/>
      <c r="D49" s="127"/>
      <c r="E49" s="127"/>
      <c r="F49" s="127"/>
      <c r="G49" s="127"/>
      <c r="H49" s="127"/>
    </row>
    <row r="50" spans="1:8" hidden="1">
      <c r="A50" s="99">
        <v>14300</v>
      </c>
      <c r="B50" s="117" t="s">
        <v>196</v>
      </c>
      <c r="C50" s="127"/>
      <c r="D50" s="127"/>
      <c r="E50" s="127"/>
      <c r="F50" s="127"/>
      <c r="G50" s="127"/>
      <c r="H50" s="127"/>
    </row>
    <row r="51" spans="1:8" hidden="1">
      <c r="A51" s="99">
        <v>14400</v>
      </c>
      <c r="B51" s="117" t="s">
        <v>319</v>
      </c>
      <c r="C51" s="127"/>
      <c r="D51" s="127"/>
      <c r="E51" s="127"/>
      <c r="F51" s="127"/>
      <c r="G51" s="127"/>
      <c r="H51" s="127"/>
    </row>
    <row r="52" spans="1:8" hidden="1">
      <c r="A52" s="99">
        <v>14500</v>
      </c>
      <c r="B52" s="117" t="s">
        <v>320</v>
      </c>
      <c r="C52" s="127"/>
      <c r="D52" s="127"/>
      <c r="E52" s="127"/>
      <c r="F52" s="127"/>
      <c r="G52" s="127"/>
      <c r="H52" s="127"/>
    </row>
    <row r="53" spans="1:8">
      <c r="A53" s="89">
        <v>15000</v>
      </c>
      <c r="B53" s="92" t="s">
        <v>321</v>
      </c>
      <c r="C53" s="91">
        <f t="shared" ref="C53:H53" ca="1" si="13">C54+C55+C104</f>
        <v>532140</v>
      </c>
      <c r="D53" s="91">
        <f t="shared" ca="1" si="13"/>
        <v>699038</v>
      </c>
      <c r="E53" s="91">
        <f t="shared" ca="1" si="13"/>
        <v>143010</v>
      </c>
      <c r="F53" s="91">
        <f t="shared" ca="1" si="13"/>
        <v>543891</v>
      </c>
      <c r="G53" s="91">
        <f t="shared" ca="1" si="13"/>
        <v>735563</v>
      </c>
      <c r="H53" s="91">
        <f t="shared" ca="1" si="13"/>
        <v>788931</v>
      </c>
    </row>
    <row r="54" spans="1:8" ht="56.25" hidden="1">
      <c r="A54" s="99">
        <v>15100</v>
      </c>
      <c r="B54" s="100" t="s">
        <v>313</v>
      </c>
      <c r="C54" s="127"/>
      <c r="D54" s="127"/>
      <c r="E54" s="127"/>
      <c r="F54" s="127"/>
      <c r="G54" s="127"/>
      <c r="H54" s="127"/>
    </row>
    <row r="55" spans="1:8" ht="40.5">
      <c r="A55" s="99">
        <v>15200</v>
      </c>
      <c r="B55" s="100" t="s">
        <v>591</v>
      </c>
      <c r="C55" s="173">
        <f ca="1">C56+C72+C88</f>
        <v>532140</v>
      </c>
      <c r="D55" s="173">
        <f t="shared" ref="D55:H55" ca="1" si="14">D56+D72+D88</f>
        <v>699038</v>
      </c>
      <c r="E55" s="173">
        <f ca="1">E56+E72+E88</f>
        <v>143010</v>
      </c>
      <c r="F55" s="173">
        <f t="shared" ca="1" si="14"/>
        <v>543891</v>
      </c>
      <c r="G55" s="173">
        <f t="shared" ca="1" si="14"/>
        <v>735563</v>
      </c>
      <c r="H55" s="173">
        <f t="shared" ca="1" si="14"/>
        <v>788931</v>
      </c>
    </row>
    <row r="56" spans="1:8" s="95" customFormat="1" hidden="1">
      <c r="A56" s="93">
        <v>15210</v>
      </c>
      <c r="B56" s="56" t="s">
        <v>317</v>
      </c>
      <c r="C56" s="94">
        <f ca="1">C57+C60+C63+C66+C69</f>
        <v>0</v>
      </c>
      <c r="D56" s="94">
        <f t="shared" ref="D56:H56" ca="1" si="15">D57+D60+D63+D66+D69</f>
        <v>0</v>
      </c>
      <c r="E56" s="94">
        <f t="shared" ca="1" si="15"/>
        <v>0</v>
      </c>
      <c r="F56" s="94">
        <f t="shared" ca="1" si="15"/>
        <v>0</v>
      </c>
      <c r="G56" s="94">
        <f t="shared" ca="1" si="15"/>
        <v>0</v>
      </c>
      <c r="H56" s="94">
        <f t="shared" ca="1" si="15"/>
        <v>0</v>
      </c>
    </row>
    <row r="57" spans="1:8" ht="37.5" hidden="1">
      <c r="A57" s="96">
        <v>15211</v>
      </c>
      <c r="B57" s="97" t="s">
        <v>581</v>
      </c>
      <c r="C57" s="98">
        <f ca="1">SUM(OFFSET(C60,-1,0):OFFSET(C57,1,0))</f>
        <v>0</v>
      </c>
      <c r="D57" s="98">
        <f ca="1">SUM(OFFSET(D60,-1,0):OFFSET(D57,1,0))</f>
        <v>0</v>
      </c>
      <c r="E57" s="98">
        <f ca="1">SUM(OFFSET(E60,-1,0):OFFSET(E57,1,0))</f>
        <v>0</v>
      </c>
      <c r="F57" s="98">
        <f ca="1">SUM(OFFSET(F60,-1,0):OFFSET(F57,1,0))</f>
        <v>0</v>
      </c>
      <c r="G57" s="98">
        <f ca="1">SUM(OFFSET(G60,-1,0):OFFSET(G57,1,0))</f>
        <v>0</v>
      </c>
      <c r="H57" s="98">
        <f ca="1">SUM(OFFSET(H60,-1,0):OFFSET(H57,1,0))</f>
        <v>0</v>
      </c>
    </row>
    <row r="58" spans="1:8" s="172" customFormat="1" hidden="1">
      <c r="A58" s="130"/>
      <c r="B58" s="129"/>
      <c r="C58" s="128"/>
      <c r="D58" s="128"/>
      <c r="E58" s="128"/>
      <c r="F58" s="128"/>
      <c r="G58" s="128"/>
      <c r="H58" s="128"/>
    </row>
    <row r="59" spans="1:8" s="172" customFormat="1" hidden="1">
      <c r="A59" s="130"/>
      <c r="B59" s="129"/>
      <c r="C59" s="128"/>
      <c r="D59" s="128"/>
      <c r="E59" s="128"/>
      <c r="F59" s="128"/>
      <c r="G59" s="128"/>
      <c r="H59" s="128"/>
    </row>
    <row r="60" spans="1:8" ht="56.25" hidden="1">
      <c r="A60" s="96">
        <v>15212</v>
      </c>
      <c r="B60" s="97" t="s">
        <v>582</v>
      </c>
      <c r="C60" s="98">
        <f ca="1">SUM(OFFSET(C63,-1,0):OFFSET(C60,1,0))</f>
        <v>0</v>
      </c>
      <c r="D60" s="98">
        <f ca="1">SUM(OFFSET(D63,-1,0):OFFSET(D60,1,0))</f>
        <v>0</v>
      </c>
      <c r="E60" s="98">
        <f ca="1">SUM(OFFSET(E63,-1,0):OFFSET(E60,1,0))</f>
        <v>0</v>
      </c>
      <c r="F60" s="98">
        <f ca="1">SUM(OFFSET(F63,-1,0):OFFSET(F60,1,0))</f>
        <v>0</v>
      </c>
      <c r="G60" s="98">
        <f ca="1">SUM(OFFSET(G63,-1,0):OFFSET(G60,1,0))</f>
        <v>0</v>
      </c>
      <c r="H60" s="98">
        <f ca="1">SUM(OFFSET(H63,-1,0):OFFSET(H60,1,0))</f>
        <v>0</v>
      </c>
    </row>
    <row r="61" spans="1:8" s="172" customFormat="1" hidden="1">
      <c r="A61" s="130"/>
      <c r="B61" s="129"/>
      <c r="C61" s="128"/>
      <c r="D61" s="128"/>
      <c r="E61" s="128"/>
      <c r="F61" s="128"/>
      <c r="G61" s="128"/>
      <c r="H61" s="128"/>
    </row>
    <row r="62" spans="1:8" s="172" customFormat="1" hidden="1">
      <c r="A62" s="130"/>
      <c r="B62" s="129"/>
      <c r="C62" s="128"/>
      <c r="D62" s="128"/>
      <c r="E62" s="128"/>
      <c r="F62" s="128"/>
      <c r="G62" s="128"/>
      <c r="H62" s="128"/>
    </row>
    <row r="63" spans="1:8" ht="39.75" hidden="1" customHeight="1">
      <c r="A63" s="96">
        <v>15213</v>
      </c>
      <c r="B63" s="97" t="s">
        <v>583</v>
      </c>
      <c r="C63" s="98">
        <f ca="1">SUM(OFFSET(C66,-1,0):OFFSET(C63,1,0))</f>
        <v>0</v>
      </c>
      <c r="D63" s="98">
        <f ca="1">SUM(OFFSET(D66,-1,0):OFFSET(D63,1,0))</f>
        <v>0</v>
      </c>
      <c r="E63" s="98">
        <f ca="1">SUM(OFFSET(E66,-1,0):OFFSET(E63,1,0))</f>
        <v>0</v>
      </c>
      <c r="F63" s="98">
        <f ca="1">SUM(OFFSET(F66,-1,0):OFFSET(F63,1,0))</f>
        <v>0</v>
      </c>
      <c r="G63" s="98">
        <f ca="1">SUM(OFFSET(G66,-1,0):OFFSET(G63,1,0))</f>
        <v>0</v>
      </c>
      <c r="H63" s="98">
        <f ca="1">SUM(OFFSET(H66,-1,0):OFFSET(H63,1,0))</f>
        <v>0</v>
      </c>
    </row>
    <row r="64" spans="1:8" s="172" customFormat="1" ht="39.75" hidden="1" customHeight="1">
      <c r="A64" s="130"/>
      <c r="B64" s="129"/>
      <c r="C64" s="128"/>
      <c r="D64" s="128"/>
      <c r="E64" s="128"/>
      <c r="F64" s="128"/>
      <c r="G64" s="128"/>
      <c r="H64" s="128"/>
    </row>
    <row r="65" spans="1:8" s="172" customFormat="1" ht="39.75" hidden="1" customHeight="1">
      <c r="A65" s="130"/>
      <c r="B65" s="129"/>
      <c r="C65" s="128"/>
      <c r="D65" s="128"/>
      <c r="E65" s="128"/>
      <c r="F65" s="128"/>
      <c r="G65" s="128"/>
      <c r="H65" s="128"/>
    </row>
    <row r="66" spans="1:8" ht="37.5" hidden="1">
      <c r="A66" s="96">
        <v>15214</v>
      </c>
      <c r="B66" s="97" t="s">
        <v>584</v>
      </c>
      <c r="C66" s="98">
        <f ca="1">SUM(OFFSET(C69,-1,0):OFFSET(C66,1,0))</f>
        <v>0</v>
      </c>
      <c r="D66" s="98">
        <f ca="1">SUM(OFFSET(D69,-1,0):OFFSET(D66,1,0))</f>
        <v>0</v>
      </c>
      <c r="E66" s="98">
        <f ca="1">SUM(OFFSET(E69,-1,0):OFFSET(E66,1,0))</f>
        <v>0</v>
      </c>
      <c r="F66" s="98">
        <f ca="1">SUM(OFFSET(F69,-1,0):OFFSET(F66,1,0))</f>
        <v>0</v>
      </c>
      <c r="G66" s="98">
        <f ca="1">SUM(OFFSET(G69,-1,0):OFFSET(G66,1,0))</f>
        <v>0</v>
      </c>
      <c r="H66" s="98">
        <f ca="1">SUM(OFFSET(H69,-1,0):OFFSET(H66,1,0))</f>
        <v>0</v>
      </c>
    </row>
    <row r="67" spans="1:8" s="172" customFormat="1" hidden="1">
      <c r="A67" s="130"/>
      <c r="B67" s="129"/>
      <c r="C67" s="128"/>
      <c r="D67" s="128"/>
      <c r="E67" s="128"/>
      <c r="F67" s="128"/>
      <c r="G67" s="128"/>
      <c r="H67" s="128"/>
    </row>
    <row r="68" spans="1:8" s="172" customFormat="1" hidden="1">
      <c r="A68" s="130"/>
      <c r="B68" s="129"/>
      <c r="C68" s="128"/>
      <c r="D68" s="128"/>
      <c r="E68" s="128"/>
      <c r="F68" s="128"/>
      <c r="G68" s="128"/>
      <c r="H68" s="128"/>
    </row>
    <row r="69" spans="1:8" ht="37.5" hidden="1">
      <c r="A69" s="96">
        <v>15215</v>
      </c>
      <c r="B69" s="97" t="s">
        <v>585</v>
      </c>
      <c r="C69" s="98">
        <f ca="1">SUM(OFFSET(C72,-1,0):OFFSET(C69,1,0))</f>
        <v>0</v>
      </c>
      <c r="D69" s="98">
        <f ca="1">SUM(OFFSET(D72,-1,0):OFFSET(D69,1,0))</f>
        <v>0</v>
      </c>
      <c r="E69" s="98">
        <f ca="1">SUM(OFFSET(E72,-1,0):OFFSET(E69,1,0))</f>
        <v>0</v>
      </c>
      <c r="F69" s="98">
        <f ca="1">SUM(OFFSET(F72,-1,0):OFFSET(F69,1,0))</f>
        <v>0</v>
      </c>
      <c r="G69" s="98">
        <f ca="1">SUM(OFFSET(G72,-1,0):OFFSET(G69,1,0))</f>
        <v>0</v>
      </c>
      <c r="H69" s="98">
        <f ca="1">SUM(OFFSET(H72,-1,0):OFFSET(H69,1,0))</f>
        <v>0</v>
      </c>
    </row>
    <row r="70" spans="1:8" s="172" customFormat="1" hidden="1">
      <c r="A70" s="130"/>
      <c r="B70" s="129"/>
      <c r="C70" s="128"/>
      <c r="D70" s="128"/>
      <c r="E70" s="128"/>
      <c r="F70" s="128"/>
      <c r="G70" s="128"/>
      <c r="H70" s="128"/>
    </row>
    <row r="71" spans="1:8" s="172" customFormat="1" hidden="1">
      <c r="A71" s="130"/>
      <c r="B71" s="129"/>
      <c r="C71" s="128"/>
      <c r="D71" s="128"/>
      <c r="E71" s="128">
        <v>0</v>
      </c>
      <c r="F71" s="128">
        <v>0</v>
      </c>
      <c r="G71" s="128">
        <v>0</v>
      </c>
      <c r="H71" s="128">
        <v>0</v>
      </c>
    </row>
    <row r="72" spans="1:8">
      <c r="A72" s="93">
        <v>15220</v>
      </c>
      <c r="B72" s="56" t="s">
        <v>315</v>
      </c>
      <c r="C72" s="94">
        <f ca="1">C73+C76+C79+C82+C85</f>
        <v>532140</v>
      </c>
      <c r="D72" s="94">
        <f t="shared" ref="D72:H72" ca="1" si="16">D73+D76+D79+D82+D85</f>
        <v>699038</v>
      </c>
      <c r="E72" s="94">
        <f t="shared" ca="1" si="16"/>
        <v>143010</v>
      </c>
      <c r="F72" s="94">
        <f t="shared" ca="1" si="16"/>
        <v>543891</v>
      </c>
      <c r="G72" s="94">
        <f t="shared" ca="1" si="16"/>
        <v>735563</v>
      </c>
      <c r="H72" s="94">
        <f t="shared" ca="1" si="16"/>
        <v>788931</v>
      </c>
    </row>
    <row r="73" spans="1:8" ht="37.5" hidden="1">
      <c r="A73" s="96">
        <v>15221</v>
      </c>
      <c r="B73" s="97" t="s">
        <v>586</v>
      </c>
      <c r="C73" s="98">
        <f ca="1">SUM(OFFSET(C76,-1,0):OFFSET(C73,1,0))</f>
        <v>0</v>
      </c>
      <c r="D73" s="98">
        <f ca="1">SUM(OFFSET(D76,-1,0):OFFSET(D73,1,0))</f>
        <v>0</v>
      </c>
      <c r="E73" s="98">
        <f ca="1">SUM(OFFSET(E76,-1,0):OFFSET(E73,1,0))</f>
        <v>0</v>
      </c>
      <c r="F73" s="98">
        <f ca="1">SUM(OFFSET(F76,-1,0):OFFSET(F73,1,0))</f>
        <v>0</v>
      </c>
      <c r="G73" s="98">
        <f ca="1">SUM(OFFSET(G76,-1,0):OFFSET(G73,1,0))</f>
        <v>0</v>
      </c>
      <c r="H73" s="98">
        <f ca="1">SUM(OFFSET(H76,-1,0):OFFSET(H73,1,0))</f>
        <v>0</v>
      </c>
    </row>
    <row r="74" spans="1:8" s="172" customFormat="1" hidden="1">
      <c r="A74" s="130"/>
      <c r="B74" s="129"/>
      <c r="C74" s="128"/>
      <c r="D74" s="128"/>
      <c r="E74" s="128"/>
      <c r="F74" s="128"/>
      <c r="G74" s="128"/>
      <c r="H74" s="128"/>
    </row>
    <row r="75" spans="1:8" s="172" customFormat="1" hidden="1">
      <c r="A75" s="130"/>
      <c r="B75" s="129"/>
      <c r="C75" s="128">
        <v>0</v>
      </c>
      <c r="D75" s="128">
        <v>0</v>
      </c>
      <c r="E75" s="128"/>
      <c r="F75" s="128"/>
      <c r="G75" s="128"/>
      <c r="H75" s="128"/>
    </row>
    <row r="76" spans="1:8" ht="56.25" hidden="1">
      <c r="A76" s="96">
        <v>15222</v>
      </c>
      <c r="B76" s="97" t="s">
        <v>582</v>
      </c>
      <c r="C76" s="98">
        <f ca="1">SUM(OFFSET(C79,-1,0):OFFSET(C76,1,0))</f>
        <v>0</v>
      </c>
      <c r="D76" s="98">
        <f ca="1">SUM(OFFSET(D79,-1,0):OFFSET(D76,1,0))</f>
        <v>0</v>
      </c>
      <c r="E76" s="98">
        <f ca="1">SUM(OFFSET(E79,-1,0):OFFSET(E76,1,0))</f>
        <v>0</v>
      </c>
      <c r="F76" s="98">
        <f ca="1">SUM(OFFSET(F79,-1,0):OFFSET(F76,1,0))</f>
        <v>0</v>
      </c>
      <c r="G76" s="98">
        <f ca="1">SUM(OFFSET(G79,-1,0):OFFSET(G76,1,0))</f>
        <v>0</v>
      </c>
      <c r="H76" s="98">
        <f ca="1">SUM(OFFSET(H79,-1,0):OFFSET(H76,1,0))</f>
        <v>0</v>
      </c>
    </row>
    <row r="77" spans="1:8" s="172" customFormat="1" hidden="1">
      <c r="A77" s="130"/>
      <c r="B77" s="129"/>
      <c r="C77" s="128"/>
      <c r="D77" s="128"/>
      <c r="E77" s="128"/>
      <c r="F77" s="128"/>
      <c r="G77" s="128"/>
      <c r="H77" s="128"/>
    </row>
    <row r="78" spans="1:8" s="172" customFormat="1" hidden="1">
      <c r="A78" s="130"/>
      <c r="B78" s="129"/>
      <c r="C78" s="128"/>
      <c r="D78" s="128"/>
      <c r="E78" s="128"/>
      <c r="F78" s="128"/>
      <c r="G78" s="128"/>
      <c r="H78" s="128"/>
    </row>
    <row r="79" spans="1:8" ht="39" hidden="1" customHeight="1">
      <c r="A79" s="96">
        <v>15223</v>
      </c>
      <c r="B79" s="97" t="s">
        <v>583</v>
      </c>
      <c r="C79" s="98">
        <f ca="1">SUM(OFFSET(C82,-1,0):OFFSET(C79,1,0))</f>
        <v>0</v>
      </c>
      <c r="D79" s="98">
        <f ca="1">SUM(OFFSET(D82,-1,0):OFFSET(D79,1,0))</f>
        <v>0</v>
      </c>
      <c r="E79" s="98">
        <f ca="1">SUM(OFFSET(E82,-1,0):OFFSET(E79,1,0))</f>
        <v>0</v>
      </c>
      <c r="F79" s="98">
        <f ca="1">SUM(OFFSET(F82,-1,0):OFFSET(F79,1,0))</f>
        <v>0</v>
      </c>
      <c r="G79" s="98">
        <f ca="1">SUM(OFFSET(G82,-1,0):OFFSET(G79,1,0))</f>
        <v>0</v>
      </c>
      <c r="H79" s="98">
        <f ca="1">SUM(OFFSET(H82,-1,0):OFFSET(H79,1,0))</f>
        <v>0</v>
      </c>
    </row>
    <row r="80" spans="1:8" s="172" customFormat="1" ht="39" hidden="1" customHeight="1">
      <c r="A80" s="130"/>
      <c r="B80" s="129"/>
      <c r="C80" s="128"/>
      <c r="D80" s="128"/>
      <c r="E80" s="128"/>
      <c r="F80" s="128"/>
      <c r="G80" s="128"/>
      <c r="H80" s="128"/>
    </row>
    <row r="81" spans="1:8" s="172" customFormat="1" ht="39" hidden="1" customHeight="1">
      <c r="A81" s="130"/>
      <c r="B81" s="129"/>
      <c r="C81" s="128"/>
      <c r="D81" s="128"/>
      <c r="E81" s="128"/>
      <c r="F81" s="128"/>
      <c r="G81" s="128"/>
      <c r="H81" s="128"/>
    </row>
    <row r="82" spans="1:8" ht="37.5" hidden="1">
      <c r="A82" s="96">
        <v>15224</v>
      </c>
      <c r="B82" s="97" t="s">
        <v>584</v>
      </c>
      <c r="C82" s="98">
        <f ca="1">SUM(OFFSET(C85,-1,0):OFFSET(C82,1,0))</f>
        <v>0</v>
      </c>
      <c r="D82" s="98">
        <f ca="1">SUM(OFFSET(D85,-1,0):OFFSET(D82,1,0))</f>
        <v>0</v>
      </c>
      <c r="E82" s="98">
        <f ca="1">SUM(OFFSET(E85,-1,0):OFFSET(E82,1,0))</f>
        <v>0</v>
      </c>
      <c r="F82" s="98">
        <f ca="1">SUM(OFFSET(F85,-1,0):OFFSET(F82,1,0))</f>
        <v>0</v>
      </c>
      <c r="G82" s="98">
        <f ca="1">SUM(OFFSET(G85,-1,0):OFFSET(G82,1,0))</f>
        <v>0</v>
      </c>
      <c r="H82" s="98">
        <f ca="1">SUM(OFFSET(H85,-1,0):OFFSET(H82,1,0))</f>
        <v>0</v>
      </c>
    </row>
    <row r="83" spans="1:8" s="172" customFormat="1" hidden="1">
      <c r="A83" s="130"/>
      <c r="B83" s="129"/>
      <c r="C83" s="128"/>
      <c r="D83" s="128"/>
      <c r="E83" s="128"/>
      <c r="F83" s="128"/>
      <c r="G83" s="128"/>
      <c r="H83" s="128"/>
    </row>
    <row r="84" spans="1:8" s="172" customFormat="1" hidden="1">
      <c r="A84" s="130"/>
      <c r="B84" s="129"/>
      <c r="C84" s="128"/>
      <c r="D84" s="128"/>
      <c r="E84" s="128"/>
      <c r="F84" s="128"/>
      <c r="G84" s="128"/>
      <c r="H84" s="128"/>
    </row>
    <row r="85" spans="1:8" ht="37.5">
      <c r="A85" s="96">
        <v>15225</v>
      </c>
      <c r="B85" s="97" t="s">
        <v>585</v>
      </c>
      <c r="C85" s="98">
        <f ca="1">SUM(OFFSET(C88,-1,0):OFFSET(C85,1,0))</f>
        <v>532140</v>
      </c>
      <c r="D85" s="98">
        <f ca="1">SUM(OFFSET(D88,-1,0):OFFSET(D85,1,0))</f>
        <v>699038</v>
      </c>
      <c r="E85" s="98">
        <f ca="1">SUM(OFFSET(E88,-1,0):OFFSET(E85,1,0))</f>
        <v>143010</v>
      </c>
      <c r="F85" s="98">
        <f ca="1">SUM(OFFSET(F88,-1,0):OFFSET(F85,1,0))</f>
        <v>543891</v>
      </c>
      <c r="G85" s="98">
        <f ca="1">SUM(OFFSET(G88,-1,0):OFFSET(G85,1,0))</f>
        <v>735563</v>
      </c>
      <c r="H85" s="98">
        <f ca="1">SUM(OFFSET(H88,-1,0):OFFSET(H85,1,0))</f>
        <v>788931</v>
      </c>
    </row>
    <row r="86" spans="1:8" s="172" customFormat="1" hidden="1">
      <c r="A86" s="130"/>
      <c r="B86" s="129"/>
      <c r="C86" s="128"/>
      <c r="D86" s="128"/>
      <c r="E86" s="128"/>
      <c r="F86" s="128"/>
      <c r="G86" s="128"/>
      <c r="H86" s="128"/>
    </row>
    <row r="87" spans="1:8" s="172" customFormat="1">
      <c r="A87" s="130"/>
      <c r="B87" s="129"/>
      <c r="C87" s="128">
        <v>532140</v>
      </c>
      <c r="D87" s="128">
        <v>699038</v>
      </c>
      <c r="E87" s="128">
        <v>143010</v>
      </c>
      <c r="F87" s="128">
        <v>543891</v>
      </c>
      <c r="G87" s="128">
        <v>735563</v>
      </c>
      <c r="H87" s="128">
        <v>788931</v>
      </c>
    </row>
    <row r="88" spans="1:8" hidden="1">
      <c r="A88" s="93">
        <v>15230</v>
      </c>
      <c r="B88" s="56" t="s">
        <v>316</v>
      </c>
      <c r="C88" s="94">
        <f t="shared" ref="C88:H88" ca="1" si="17">C89+C92+C95+C98+C101</f>
        <v>0</v>
      </c>
      <c r="D88" s="94">
        <f t="shared" ca="1" si="17"/>
        <v>0</v>
      </c>
      <c r="E88" s="94">
        <f t="shared" ca="1" si="17"/>
        <v>0</v>
      </c>
      <c r="F88" s="94">
        <f t="shared" ca="1" si="17"/>
        <v>0</v>
      </c>
      <c r="G88" s="94">
        <f t="shared" ca="1" si="17"/>
        <v>0</v>
      </c>
      <c r="H88" s="94">
        <f t="shared" ca="1" si="17"/>
        <v>0</v>
      </c>
    </row>
    <row r="89" spans="1:8" ht="37.5" hidden="1">
      <c r="A89" s="96">
        <v>15231</v>
      </c>
      <c r="B89" s="97" t="s">
        <v>586</v>
      </c>
      <c r="C89" s="98">
        <f ca="1">SUM(OFFSET(C92,-1,0):OFFSET(C89,1,0))</f>
        <v>0</v>
      </c>
      <c r="D89" s="98">
        <f ca="1">SUM(OFFSET(D92,-1,0):OFFSET(D89,1,0))</f>
        <v>0</v>
      </c>
      <c r="E89" s="98">
        <f ca="1">SUM(OFFSET(E92,-1,0):OFFSET(E89,1,0))</f>
        <v>0</v>
      </c>
      <c r="F89" s="98">
        <f ca="1">SUM(OFFSET(F92,-1,0):OFFSET(F89,1,0))</f>
        <v>0</v>
      </c>
      <c r="G89" s="98">
        <f ca="1">SUM(OFFSET(G92,-1,0):OFFSET(G89,1,0))</f>
        <v>0</v>
      </c>
      <c r="H89" s="98">
        <f ca="1">SUM(OFFSET(H92,-1,0):OFFSET(H89,1,0))</f>
        <v>0</v>
      </c>
    </row>
    <row r="90" spans="1:8" s="172" customFormat="1" hidden="1">
      <c r="A90" s="130"/>
      <c r="B90" s="129"/>
      <c r="C90" s="128"/>
      <c r="D90" s="128"/>
      <c r="E90" s="128"/>
      <c r="F90" s="128"/>
      <c r="G90" s="128"/>
      <c r="H90" s="128"/>
    </row>
    <row r="91" spans="1:8" s="172" customFormat="1" hidden="1">
      <c r="A91" s="130"/>
      <c r="B91" s="129"/>
      <c r="C91" s="128"/>
      <c r="D91" s="128"/>
      <c r="E91" s="128"/>
      <c r="F91" s="128"/>
      <c r="G91" s="128"/>
      <c r="H91" s="128"/>
    </row>
    <row r="92" spans="1:8" ht="56.25" hidden="1">
      <c r="A92" s="96">
        <v>15232</v>
      </c>
      <c r="B92" s="97" t="s">
        <v>582</v>
      </c>
      <c r="C92" s="98">
        <f ca="1">SUM(OFFSET(C95,-1,0):OFFSET(C92,1,0))</f>
        <v>0</v>
      </c>
      <c r="D92" s="98">
        <f ca="1">SUM(OFFSET(D95,-1,0):OFFSET(D92,1,0))</f>
        <v>0</v>
      </c>
      <c r="E92" s="98">
        <f ca="1">SUM(OFFSET(E95,-1,0):OFFSET(E92,1,0))</f>
        <v>0</v>
      </c>
      <c r="F92" s="98">
        <f ca="1">SUM(OFFSET(F95,-1,0):OFFSET(F92,1,0))</f>
        <v>0</v>
      </c>
      <c r="G92" s="98">
        <f ca="1">SUM(OFFSET(G95,-1,0):OFFSET(G92,1,0))</f>
        <v>0</v>
      </c>
      <c r="H92" s="98">
        <f ca="1">SUM(OFFSET(H95,-1,0):OFFSET(H92,1,0))</f>
        <v>0</v>
      </c>
    </row>
    <row r="93" spans="1:8" s="172" customFormat="1" hidden="1">
      <c r="A93" s="130"/>
      <c r="B93" s="129"/>
      <c r="C93" s="128"/>
      <c r="D93" s="128"/>
      <c r="E93" s="128"/>
      <c r="F93" s="128"/>
      <c r="G93" s="128"/>
      <c r="H93" s="128"/>
    </row>
    <row r="94" spans="1:8" s="172" customFormat="1" hidden="1">
      <c r="A94" s="130"/>
      <c r="B94" s="129"/>
      <c r="C94" s="128"/>
      <c r="D94" s="128"/>
      <c r="E94" s="128"/>
      <c r="F94" s="128"/>
      <c r="G94" s="128"/>
      <c r="H94" s="128"/>
    </row>
    <row r="95" spans="1:8" ht="38.25" hidden="1" customHeight="1">
      <c r="A95" s="96">
        <v>15233</v>
      </c>
      <c r="B95" s="97" t="s">
        <v>583</v>
      </c>
      <c r="C95" s="98">
        <f ca="1">SUM(OFFSET(C98,-1,0):OFFSET(C95,1,0))</f>
        <v>0</v>
      </c>
      <c r="D95" s="98">
        <f ca="1">SUM(OFFSET(D98,-1,0):OFFSET(D95,1,0))</f>
        <v>0</v>
      </c>
      <c r="E95" s="98">
        <f ca="1">SUM(OFFSET(E98,-1,0):OFFSET(E95,1,0))</f>
        <v>0</v>
      </c>
      <c r="F95" s="98">
        <f ca="1">SUM(OFFSET(F98,-1,0):OFFSET(F95,1,0))</f>
        <v>0</v>
      </c>
      <c r="G95" s="98">
        <f ca="1">SUM(OFFSET(G98,-1,0):OFFSET(G95,1,0))</f>
        <v>0</v>
      </c>
      <c r="H95" s="98">
        <f ca="1">SUM(OFFSET(H98,-1,0):OFFSET(H95,1,0))</f>
        <v>0</v>
      </c>
    </row>
    <row r="96" spans="1:8" s="172" customFormat="1" ht="38.25" hidden="1" customHeight="1">
      <c r="A96" s="130"/>
      <c r="B96" s="129"/>
      <c r="C96" s="128"/>
      <c r="D96" s="128"/>
      <c r="E96" s="128"/>
      <c r="F96" s="128"/>
      <c r="G96" s="128"/>
      <c r="H96" s="128"/>
    </row>
    <row r="97" spans="1:8" s="172" customFormat="1" ht="38.25" hidden="1" customHeight="1">
      <c r="A97" s="130"/>
      <c r="B97" s="129"/>
      <c r="C97" s="128"/>
      <c r="D97" s="128"/>
      <c r="E97" s="128"/>
      <c r="F97" s="128"/>
      <c r="G97" s="128"/>
      <c r="H97" s="128"/>
    </row>
    <row r="98" spans="1:8" ht="37.5" hidden="1">
      <c r="A98" s="96">
        <v>15234</v>
      </c>
      <c r="B98" s="97" t="s">
        <v>584</v>
      </c>
      <c r="C98" s="98">
        <f ca="1">SUM(OFFSET(C101,-1,0):OFFSET(C98,1,0))</f>
        <v>0</v>
      </c>
      <c r="D98" s="98">
        <f ca="1">SUM(OFFSET(D101,-1,0):OFFSET(D98,1,0))</f>
        <v>0</v>
      </c>
      <c r="E98" s="98">
        <f ca="1">SUM(OFFSET(E101,-1,0):OFFSET(E98,1,0))</f>
        <v>0</v>
      </c>
      <c r="F98" s="98">
        <f ca="1">SUM(OFFSET(F101,-1,0):OFFSET(F98,1,0))</f>
        <v>0</v>
      </c>
      <c r="G98" s="98">
        <f ca="1">SUM(OFFSET(G101,-1,0):OFFSET(G98,1,0))</f>
        <v>0</v>
      </c>
      <c r="H98" s="98">
        <f ca="1">SUM(OFFSET(H101,-1,0):OFFSET(H98,1,0))</f>
        <v>0</v>
      </c>
    </row>
    <row r="99" spans="1:8" s="172" customFormat="1" hidden="1">
      <c r="A99" s="130"/>
      <c r="B99" s="129"/>
      <c r="C99" s="128"/>
      <c r="D99" s="128"/>
      <c r="E99" s="128"/>
      <c r="F99" s="128"/>
      <c r="G99" s="128"/>
      <c r="H99" s="128"/>
    </row>
    <row r="100" spans="1:8" s="172" customFormat="1" hidden="1">
      <c r="A100" s="130"/>
      <c r="B100" s="129"/>
      <c r="C100" s="128"/>
      <c r="D100" s="128"/>
      <c r="E100" s="128"/>
      <c r="F100" s="128"/>
      <c r="G100" s="128"/>
      <c r="H100" s="128"/>
    </row>
    <row r="101" spans="1:8" ht="37.5" hidden="1">
      <c r="A101" s="96">
        <v>15234</v>
      </c>
      <c r="B101" s="97" t="s">
        <v>585</v>
      </c>
      <c r="C101" s="98">
        <f ca="1">SUM(OFFSET(C104,-1,0):OFFSET(C101,1,0))</f>
        <v>0</v>
      </c>
      <c r="D101" s="98">
        <f ca="1">SUM(OFFSET(D104,-1,0):OFFSET(D101,1,0))</f>
        <v>0</v>
      </c>
      <c r="E101" s="98">
        <f ca="1">SUM(OFFSET(E104,-1,0):OFFSET(E101,1,0))</f>
        <v>0</v>
      </c>
      <c r="F101" s="98">
        <f ca="1">SUM(OFFSET(F104,-1,0):OFFSET(F101,1,0))</f>
        <v>0</v>
      </c>
      <c r="G101" s="98">
        <f ca="1">SUM(OFFSET(G104,-1,0):OFFSET(G101,1,0))</f>
        <v>0</v>
      </c>
      <c r="H101" s="98">
        <f ca="1">SUM(OFFSET(H104,-1,0):OFFSET(H101,1,0))</f>
        <v>0</v>
      </c>
    </row>
    <row r="102" spans="1:8" s="172" customFormat="1" hidden="1">
      <c r="A102" s="130"/>
      <c r="B102" s="129"/>
      <c r="C102" s="128"/>
      <c r="D102" s="128"/>
      <c r="E102" s="128"/>
      <c r="F102" s="128"/>
      <c r="G102" s="128"/>
      <c r="H102" s="128"/>
    </row>
    <row r="103" spans="1:8" s="172" customFormat="1" hidden="1">
      <c r="A103" s="130"/>
      <c r="B103" s="129"/>
      <c r="C103" s="128"/>
      <c r="D103" s="128"/>
      <c r="E103" s="128"/>
      <c r="F103" s="128"/>
      <c r="G103" s="128"/>
      <c r="H103" s="128"/>
    </row>
    <row r="104" spans="1:8" hidden="1">
      <c r="A104" s="99">
        <v>15300</v>
      </c>
      <c r="B104" s="100" t="s">
        <v>195</v>
      </c>
      <c r="C104" s="127">
        <v>0</v>
      </c>
      <c r="D104" s="127">
        <v>0</v>
      </c>
      <c r="E104" s="127">
        <v>0</v>
      </c>
      <c r="F104" s="127">
        <v>0</v>
      </c>
      <c r="G104" s="127">
        <v>0</v>
      </c>
      <c r="H104" s="127">
        <v>0</v>
      </c>
    </row>
    <row r="105" spans="1:8" ht="37.5">
      <c r="A105" s="101">
        <v>16000</v>
      </c>
      <c r="B105" s="102" t="s">
        <v>327</v>
      </c>
      <c r="C105" s="103">
        <f t="shared" ref="C105:H105" ca="1" si="18">C47-C53</f>
        <v>-532140</v>
      </c>
      <c r="D105" s="103">
        <f t="shared" ca="1" si="18"/>
        <v>-699038</v>
      </c>
      <c r="E105" s="103">
        <f t="shared" ca="1" si="18"/>
        <v>-143010</v>
      </c>
      <c r="F105" s="103">
        <f t="shared" ca="1" si="18"/>
        <v>-543891</v>
      </c>
      <c r="G105" s="103">
        <f t="shared" ca="1" si="18"/>
        <v>-735563</v>
      </c>
      <c r="H105" s="103">
        <f t="shared" ca="1" si="18"/>
        <v>-788931</v>
      </c>
    </row>
    <row r="106" spans="1:8">
      <c r="A106" s="123" t="s">
        <v>312</v>
      </c>
      <c r="B106" s="394" t="s">
        <v>198</v>
      </c>
      <c r="C106" s="394"/>
      <c r="D106" s="394"/>
      <c r="E106" s="394"/>
      <c r="F106" s="394"/>
      <c r="G106" s="394"/>
      <c r="H106" s="394"/>
    </row>
    <row r="107" spans="1:8">
      <c r="A107" s="104">
        <v>17000</v>
      </c>
      <c r="B107" s="105" t="s">
        <v>323</v>
      </c>
      <c r="C107" s="106">
        <f ca="1">C108+C109+C110</f>
        <v>59302</v>
      </c>
      <c r="D107" s="106">
        <f t="shared" ref="D107:H107" ca="1" si="19">D108+D109+D110</f>
        <v>30232</v>
      </c>
      <c r="E107" s="106">
        <f t="shared" ca="1" si="19"/>
        <v>103873</v>
      </c>
      <c r="F107" s="106">
        <f t="shared" ca="1" si="19"/>
        <v>207745</v>
      </c>
      <c r="G107" s="106">
        <f t="shared" ca="1" si="19"/>
        <v>311618</v>
      </c>
      <c r="H107" s="106">
        <f t="shared" ca="1" si="19"/>
        <v>415490</v>
      </c>
    </row>
    <row r="108" spans="1:8" ht="56.25" hidden="1">
      <c r="A108" s="107">
        <v>17100</v>
      </c>
      <c r="B108" s="108" t="s">
        <v>200</v>
      </c>
      <c r="C108" s="45"/>
      <c r="D108" s="45"/>
      <c r="E108" s="45"/>
      <c r="F108" s="45"/>
      <c r="G108" s="45"/>
      <c r="H108" s="45"/>
    </row>
    <row r="109" spans="1:8" hidden="1">
      <c r="A109" s="107">
        <v>17200</v>
      </c>
      <c r="B109" s="108" t="s">
        <v>322</v>
      </c>
      <c r="C109" s="45"/>
      <c r="D109" s="45"/>
      <c r="E109" s="45"/>
      <c r="F109" s="45"/>
      <c r="G109" s="45"/>
      <c r="H109" s="45"/>
    </row>
    <row r="110" spans="1:8" ht="37.5">
      <c r="A110" s="82">
        <v>17300</v>
      </c>
      <c r="B110" s="83" t="s">
        <v>199</v>
      </c>
      <c r="C110" s="84">
        <f t="shared" ref="C110:H110" ca="1" si="20">C111+C114+C117+C120+C123</f>
        <v>59302</v>
      </c>
      <c r="D110" s="84">
        <f t="shared" ca="1" si="20"/>
        <v>30232</v>
      </c>
      <c r="E110" s="84">
        <f t="shared" ca="1" si="20"/>
        <v>103873</v>
      </c>
      <c r="F110" s="84">
        <f t="shared" ca="1" si="20"/>
        <v>207745</v>
      </c>
      <c r="G110" s="84">
        <f t="shared" ca="1" si="20"/>
        <v>311618</v>
      </c>
      <c r="H110" s="84">
        <f t="shared" ca="1" si="20"/>
        <v>415490</v>
      </c>
    </row>
    <row r="111" spans="1:8" ht="56.25" hidden="1">
      <c r="A111" s="109">
        <v>17310</v>
      </c>
      <c r="B111" s="110" t="s">
        <v>587</v>
      </c>
      <c r="C111" s="111">
        <f ca="1">SUM(OFFSET(C114,-1,0):OFFSET(C111,1,0))</f>
        <v>0</v>
      </c>
      <c r="D111" s="111">
        <f ca="1">SUM(OFFSET(D114,-1,0):OFFSET(D111,1,0))</f>
        <v>0</v>
      </c>
      <c r="E111" s="111">
        <f ca="1">SUM(OFFSET(E114,-1,0):OFFSET(E111,1,0))</f>
        <v>0</v>
      </c>
      <c r="F111" s="111">
        <f ca="1">SUM(OFFSET(F114,-1,0):OFFSET(F111,1,0))</f>
        <v>0</v>
      </c>
      <c r="G111" s="111">
        <f ca="1">SUM(OFFSET(G114,-1,0):OFFSET(G111,1,0))</f>
        <v>0</v>
      </c>
      <c r="H111" s="111">
        <f ca="1">SUM(OFFSET(H114,-1,0):OFFSET(H111,1,0))</f>
        <v>0</v>
      </c>
    </row>
    <row r="112" spans="1:8" s="172" customFormat="1" hidden="1">
      <c r="A112" s="131"/>
      <c r="B112" s="132"/>
      <c r="C112" s="46"/>
      <c r="D112" s="46"/>
      <c r="E112" s="46"/>
      <c r="F112" s="46"/>
      <c r="G112" s="46"/>
      <c r="H112" s="46"/>
    </row>
    <row r="113" spans="1:8" s="172" customFormat="1" hidden="1">
      <c r="A113" s="131"/>
      <c r="B113" s="132"/>
      <c r="C113" s="46"/>
      <c r="D113" s="46"/>
      <c r="E113" s="46"/>
      <c r="F113" s="46"/>
      <c r="G113" s="46"/>
      <c r="H113" s="46"/>
    </row>
    <row r="114" spans="1:8" ht="56.25">
      <c r="A114" s="109">
        <v>17320</v>
      </c>
      <c r="B114" s="112" t="s">
        <v>477</v>
      </c>
      <c r="C114" s="111">
        <f ca="1">SUM(OFFSET(C117,-1,0):OFFSET(C114,1,0))</f>
        <v>59302</v>
      </c>
      <c r="D114" s="111">
        <f ca="1">SUM(OFFSET(D117,-1,0):OFFSET(D114,1,0))</f>
        <v>30232</v>
      </c>
      <c r="E114" s="111">
        <f ca="1">SUM(OFFSET(E117,-1,0):OFFSET(E114,1,0))</f>
        <v>103873</v>
      </c>
      <c r="F114" s="111">
        <f ca="1">SUM(OFFSET(F117,-1,0):OFFSET(F114,1,0))</f>
        <v>207745</v>
      </c>
      <c r="G114" s="111">
        <f ca="1">SUM(OFFSET(G117,-1,0):OFFSET(G114,1,0))</f>
        <v>311618</v>
      </c>
      <c r="H114" s="111">
        <f ca="1">SUM(OFFSET(H117,-1,0):OFFSET(H114,1,0))</f>
        <v>415490</v>
      </c>
    </row>
    <row r="115" spans="1:8" s="172" customFormat="1" hidden="1">
      <c r="A115" s="131"/>
      <c r="B115" s="133"/>
      <c r="C115" s="46"/>
      <c r="D115" s="46"/>
      <c r="E115" s="46"/>
      <c r="F115" s="46"/>
      <c r="G115" s="46"/>
      <c r="H115" s="46"/>
    </row>
    <row r="116" spans="1:8" s="172" customFormat="1">
      <c r="A116" s="131"/>
      <c r="B116" s="133"/>
      <c r="C116" s="46">
        <v>59302</v>
      </c>
      <c r="D116" s="46">
        <v>30232</v>
      </c>
      <c r="E116" s="46">
        <v>103873</v>
      </c>
      <c r="F116" s="46">
        <v>207745</v>
      </c>
      <c r="G116" s="46">
        <v>311618</v>
      </c>
      <c r="H116" s="46">
        <v>415490</v>
      </c>
    </row>
    <row r="117" spans="1:8" ht="56.25" hidden="1">
      <c r="A117" s="66">
        <v>17330</v>
      </c>
      <c r="B117" s="113" t="s">
        <v>588</v>
      </c>
      <c r="C117" s="111">
        <f ca="1">SUM(OFFSET(C120,-1,0):OFFSET(C117,1,0))</f>
        <v>0</v>
      </c>
      <c r="D117" s="111">
        <f ca="1">SUM(OFFSET(D120,-1,0):OFFSET(D117,1,0))</f>
        <v>0</v>
      </c>
      <c r="E117" s="111">
        <f ca="1">SUM(OFFSET(E120,-1,0):OFFSET(E117,1,0))</f>
        <v>0</v>
      </c>
      <c r="F117" s="111">
        <f ca="1">SUM(OFFSET(F120,-1,0):OFFSET(F117,1,0))</f>
        <v>0</v>
      </c>
      <c r="G117" s="111">
        <f ca="1">SUM(OFFSET(G120,-1,0):OFFSET(G117,1,0))</f>
        <v>0</v>
      </c>
      <c r="H117" s="111">
        <f ca="1">SUM(OFFSET(H120,-1,0):OFFSET(H117,1,0))</f>
        <v>0</v>
      </c>
    </row>
    <row r="118" spans="1:8" s="172" customFormat="1" hidden="1">
      <c r="A118" s="134"/>
      <c r="B118" s="135"/>
      <c r="C118" s="46"/>
      <c r="D118" s="46"/>
      <c r="E118" s="46"/>
      <c r="F118" s="46"/>
      <c r="G118" s="46"/>
      <c r="H118" s="46"/>
    </row>
    <row r="119" spans="1:8" s="172" customFormat="1" hidden="1">
      <c r="A119" s="134"/>
      <c r="B119" s="135"/>
      <c r="C119" s="46"/>
      <c r="D119" s="46"/>
      <c r="E119" s="46"/>
      <c r="F119" s="46"/>
      <c r="G119" s="46"/>
      <c r="H119" s="46"/>
    </row>
    <row r="120" spans="1:8" ht="56.25" hidden="1">
      <c r="A120" s="66">
        <v>17340</v>
      </c>
      <c r="B120" s="113" t="s">
        <v>589</v>
      </c>
      <c r="C120" s="111">
        <f ca="1">SUM(OFFSET(C123,-1,0):OFFSET(C120,1,0))</f>
        <v>0</v>
      </c>
      <c r="D120" s="111">
        <f ca="1">SUM(OFFSET(D123,-1,0):OFFSET(D120,1,0))</f>
        <v>0</v>
      </c>
      <c r="E120" s="111">
        <f ca="1">SUM(OFFSET(E123,-1,0):OFFSET(E120,1,0))</f>
        <v>0</v>
      </c>
      <c r="F120" s="111">
        <f ca="1">SUM(OFFSET(F123,-1,0):OFFSET(F120,1,0))</f>
        <v>0</v>
      </c>
      <c r="G120" s="111">
        <f ca="1">SUM(OFFSET(G123,-1,0):OFFSET(G120,1,0))</f>
        <v>0</v>
      </c>
      <c r="H120" s="111">
        <f ca="1">SUM(OFFSET(H123,-1,0):OFFSET(H120,1,0))</f>
        <v>0</v>
      </c>
    </row>
    <row r="121" spans="1:8" s="172" customFormat="1" hidden="1">
      <c r="A121" s="134"/>
      <c r="B121" s="135"/>
      <c r="C121" s="46"/>
      <c r="D121" s="46"/>
      <c r="E121" s="46"/>
      <c r="F121" s="46"/>
      <c r="G121" s="46"/>
      <c r="H121" s="46"/>
    </row>
    <row r="122" spans="1:8" s="172" customFormat="1" hidden="1">
      <c r="A122" s="134"/>
      <c r="B122" s="135"/>
      <c r="C122" s="46"/>
      <c r="D122" s="46"/>
      <c r="E122" s="46"/>
      <c r="F122" s="46"/>
      <c r="G122" s="46"/>
      <c r="H122" s="46"/>
    </row>
    <row r="123" spans="1:8" ht="37.5" hidden="1">
      <c r="A123" s="109">
        <v>17350</v>
      </c>
      <c r="B123" s="114" t="s">
        <v>590</v>
      </c>
      <c r="C123" s="111">
        <f ca="1">SUM(OFFSET(C126,-1,0):OFFSET(C123,1,0))</f>
        <v>0</v>
      </c>
      <c r="D123" s="111">
        <f ca="1">SUM(OFFSET(D126,-1,0):OFFSET(D123,1,0))</f>
        <v>0</v>
      </c>
      <c r="E123" s="111">
        <f ca="1">SUM(OFFSET(E126,-1,0):OFFSET(E123,1,0))</f>
        <v>0</v>
      </c>
      <c r="F123" s="111">
        <f ca="1">SUM(OFFSET(F126,-1,0):OFFSET(F123,1,0))</f>
        <v>0</v>
      </c>
      <c r="G123" s="111">
        <f ca="1">SUM(OFFSET(G126,-1,0):OFFSET(G123,1,0))</f>
        <v>0</v>
      </c>
      <c r="H123" s="111">
        <f ca="1">SUM(OFFSET(H126,-1,0):OFFSET(H123,1,0))</f>
        <v>0</v>
      </c>
    </row>
    <row r="124" spans="1:8" s="172" customFormat="1" hidden="1">
      <c r="A124" s="131"/>
      <c r="B124" s="136"/>
      <c r="C124" s="46"/>
      <c r="D124" s="46"/>
      <c r="E124" s="46"/>
      <c r="F124" s="46"/>
      <c r="G124" s="46"/>
      <c r="H124" s="46"/>
    </row>
    <row r="125" spans="1:8" s="172" customFormat="1" hidden="1">
      <c r="A125" s="131"/>
      <c r="B125" s="136"/>
      <c r="C125" s="46"/>
      <c r="D125" s="46"/>
      <c r="E125" s="46"/>
      <c r="F125" s="46"/>
      <c r="G125" s="46"/>
      <c r="H125" s="46"/>
    </row>
    <row r="126" spans="1:8" hidden="1">
      <c r="A126" s="115">
        <v>18000</v>
      </c>
      <c r="B126" s="92" t="s">
        <v>324</v>
      </c>
      <c r="C126" s="81">
        <f>C127+C128+C129</f>
        <v>0</v>
      </c>
      <c r="D126" s="81">
        <f t="shared" ref="D126:H126" si="21">D127+D128+D129</f>
        <v>0</v>
      </c>
      <c r="E126" s="81">
        <f t="shared" si="21"/>
        <v>0</v>
      </c>
      <c r="F126" s="81">
        <f t="shared" si="21"/>
        <v>0</v>
      </c>
      <c r="G126" s="81">
        <f t="shared" si="21"/>
        <v>0</v>
      </c>
      <c r="H126" s="81">
        <f t="shared" si="21"/>
        <v>0</v>
      </c>
    </row>
    <row r="127" spans="1:8" hidden="1">
      <c r="A127" s="116">
        <v>18100</v>
      </c>
      <c r="B127" s="117" t="s">
        <v>325</v>
      </c>
      <c r="C127" s="45"/>
      <c r="D127" s="45"/>
      <c r="E127" s="45"/>
      <c r="F127" s="45"/>
      <c r="G127" s="45"/>
      <c r="H127" s="45"/>
    </row>
    <row r="128" spans="1:8" ht="37.5" hidden="1">
      <c r="A128" s="116">
        <v>18200</v>
      </c>
      <c r="B128" s="117" t="s">
        <v>201</v>
      </c>
      <c r="C128" s="45"/>
      <c r="D128" s="45"/>
      <c r="E128" s="45"/>
      <c r="F128" s="45"/>
      <c r="G128" s="45"/>
      <c r="H128" s="45"/>
    </row>
    <row r="129" spans="1:8" hidden="1">
      <c r="A129" s="116">
        <v>18300</v>
      </c>
      <c r="B129" s="117" t="s">
        <v>202</v>
      </c>
      <c r="C129" s="45"/>
      <c r="D129" s="45"/>
      <c r="E129" s="45"/>
      <c r="F129" s="45"/>
      <c r="G129" s="45"/>
      <c r="H129" s="45"/>
    </row>
    <row r="130" spans="1:8" ht="37.5">
      <c r="A130" s="79">
        <v>19000</v>
      </c>
      <c r="B130" s="118" t="s">
        <v>326</v>
      </c>
      <c r="C130" s="81">
        <f t="shared" ref="C130:H130" ca="1" si="22">C107-C126</f>
        <v>59302</v>
      </c>
      <c r="D130" s="81">
        <f t="shared" ca="1" si="22"/>
        <v>30232</v>
      </c>
      <c r="E130" s="81">
        <f t="shared" ca="1" si="22"/>
        <v>103873</v>
      </c>
      <c r="F130" s="81">
        <f t="shared" ca="1" si="22"/>
        <v>207745</v>
      </c>
      <c r="G130" s="81">
        <f t="shared" ca="1" si="22"/>
        <v>311618</v>
      </c>
      <c r="H130" s="81">
        <f t="shared" ca="1" si="22"/>
        <v>415490</v>
      </c>
    </row>
    <row r="131" spans="1:8" ht="37.5" hidden="1">
      <c r="A131" s="107">
        <v>20100</v>
      </c>
      <c r="B131" s="119" t="s">
        <v>203</v>
      </c>
      <c r="C131" s="45"/>
      <c r="D131" s="137"/>
      <c r="E131" s="45"/>
      <c r="F131" s="45"/>
      <c r="G131" s="45"/>
      <c r="H131" s="45"/>
    </row>
    <row r="132" spans="1:8" ht="37.5" hidden="1">
      <c r="A132" s="107">
        <v>20200</v>
      </c>
      <c r="B132" s="119" t="s">
        <v>204</v>
      </c>
      <c r="C132" s="45"/>
      <c r="D132" s="137"/>
      <c r="E132" s="45"/>
      <c r="F132" s="45"/>
      <c r="G132" s="45"/>
      <c r="H132" s="45"/>
    </row>
    <row r="133" spans="1:8" ht="37.5">
      <c r="A133" s="75">
        <v>21000</v>
      </c>
      <c r="B133" s="120" t="s">
        <v>205</v>
      </c>
      <c r="C133" s="77">
        <f t="shared" ref="C133:H133" ca="1" si="23">C3+C45+C105+C130+C131+C132</f>
        <v>658508</v>
      </c>
      <c r="D133" s="77">
        <f t="shared" ca="1" si="23"/>
        <v>2652150</v>
      </c>
      <c r="E133" s="77">
        <f t="shared" ca="1" si="23"/>
        <v>2921603</v>
      </c>
      <c r="F133" s="77">
        <f t="shared" ca="1" si="23"/>
        <v>2742517</v>
      </c>
      <c r="G133" s="77">
        <f t="shared" ca="1" si="23"/>
        <v>2782189</v>
      </c>
      <c r="H133" s="77">
        <f t="shared" ca="1" si="23"/>
        <v>3360490</v>
      </c>
    </row>
    <row r="134" spans="1:8">
      <c r="A134" s="121">
        <v>21100</v>
      </c>
      <c r="B134" s="122" t="s">
        <v>206</v>
      </c>
      <c r="C134" s="45"/>
      <c r="D134" s="138"/>
      <c r="E134" s="45"/>
      <c r="F134" s="45"/>
      <c r="G134" s="45"/>
      <c r="H134" s="45"/>
    </row>
    <row r="135" spans="1:8">
      <c r="A135" s="121">
        <v>21200</v>
      </c>
      <c r="B135" s="122" t="s">
        <v>207</v>
      </c>
      <c r="C135" s="45">
        <v>466293</v>
      </c>
      <c r="D135" s="138">
        <v>438188</v>
      </c>
      <c r="E135" s="45">
        <v>328641</v>
      </c>
      <c r="F135" s="45">
        <v>219094</v>
      </c>
      <c r="G135" s="45">
        <v>109547</v>
      </c>
      <c r="H135" s="45">
        <v>0</v>
      </c>
    </row>
    <row r="136" spans="1:8" ht="17.25" customHeight="1">
      <c r="A136" s="121">
        <v>21300</v>
      </c>
      <c r="B136" s="122" t="s">
        <v>208</v>
      </c>
      <c r="C136" s="45"/>
      <c r="D136" s="138"/>
      <c r="E136" s="45"/>
      <c r="F136" s="45"/>
      <c r="G136" s="45"/>
      <c r="H136" s="45"/>
    </row>
    <row r="137" spans="1:8">
      <c r="A137" s="121">
        <v>21400</v>
      </c>
      <c r="B137" s="122" t="s">
        <v>209</v>
      </c>
      <c r="C137" s="45">
        <v>1166</v>
      </c>
      <c r="D137" s="138">
        <v>1166</v>
      </c>
      <c r="E137" s="45">
        <v>1166</v>
      </c>
      <c r="F137" s="45">
        <v>1166</v>
      </c>
      <c r="G137" s="45">
        <v>1166</v>
      </c>
      <c r="H137" s="45">
        <v>1166</v>
      </c>
    </row>
    <row r="138" spans="1:8">
      <c r="A138" s="121">
        <v>21500</v>
      </c>
      <c r="B138" s="122" t="s">
        <v>210</v>
      </c>
      <c r="C138" s="45">
        <v>191049</v>
      </c>
      <c r="D138" s="138">
        <v>1171725</v>
      </c>
      <c r="E138" s="45">
        <v>1550725</v>
      </c>
      <c r="F138" s="45">
        <v>1481186</v>
      </c>
      <c r="G138" s="45">
        <v>1630405</v>
      </c>
      <c r="H138" s="45">
        <v>2658253</v>
      </c>
    </row>
    <row r="139" spans="1:8">
      <c r="A139" s="121">
        <v>21600</v>
      </c>
      <c r="B139" s="122" t="s">
        <v>211</v>
      </c>
      <c r="C139" s="45"/>
      <c r="D139" s="138"/>
      <c r="E139" s="45"/>
      <c r="F139" s="45"/>
      <c r="G139" s="45"/>
      <c r="H139" s="45"/>
    </row>
    <row r="140" spans="1:8">
      <c r="A140" s="121">
        <v>21700</v>
      </c>
      <c r="B140" s="122" t="s">
        <v>212</v>
      </c>
      <c r="C140" s="45"/>
      <c r="D140" s="138">
        <v>1041071</v>
      </c>
      <c r="E140" s="45">
        <v>1041071</v>
      </c>
      <c r="F140" s="45">
        <v>1041071</v>
      </c>
      <c r="G140" s="45">
        <v>1041071</v>
      </c>
      <c r="H140" s="45">
        <v>701071</v>
      </c>
    </row>
    <row r="141" spans="1:8" ht="37.5" customHeight="1">
      <c r="A141" s="395" t="s">
        <v>592</v>
      </c>
      <c r="B141" s="395"/>
      <c r="C141" s="395"/>
      <c r="D141" s="395"/>
      <c r="E141" s="395"/>
      <c r="F141" s="395"/>
      <c r="G141" s="395"/>
      <c r="H141" s="395"/>
    </row>
  </sheetData>
  <sheetProtection algorithmName="SHA-512" hashValue="LtPlLDO8Nn8urDvy+v1ih7CC9CKvnuRHipstZuGIFAD14kwhmc5wjmTstOq9i0qsYeUL+2D/yQVeMU2gVSEjvQ==" saltValue="fBeD0i0MHZlq5E/CVUJa5Q==" spinCount="100000" sheet="1" objects="1" scenarios="1" formatColumns="0" formatRows="0" insertRows="0" deleteRows="0"/>
  <mergeCells count="4">
    <mergeCell ref="B4:H4"/>
    <mergeCell ref="B46:H46"/>
    <mergeCell ref="B106:H106"/>
    <mergeCell ref="A141:H141"/>
  </mergeCells>
  <pageMargins left="0.70866141732283472" right="0.70866141732283472" top="0.76470588235294112" bottom="0.74803149606299213" header="0.31496062992125984" footer="0.31496062992125984"/>
  <pageSetup paperSize="9" scale="60" fitToHeight="0" orientation="portrait" r:id="rId1"/>
  <headerFooter>
    <oddHeader xml:space="preserve">&amp;C&amp;"Times New Roman,Bold"&amp;14
Naudas plūsma&amp;R&amp;"Times New Roman,Regular"&amp;14 4.pielikums
</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5"/>
  <sheetViews>
    <sheetView tabSelected="1" topLeftCell="B4" zoomScaleNormal="100" workbookViewId="0">
      <selection activeCell="H11" sqref="H11"/>
    </sheetView>
  </sheetViews>
  <sheetFormatPr defaultRowHeight="18.75"/>
  <cols>
    <col min="1" max="1" width="9.5703125" style="258" customWidth="1"/>
    <col min="2" max="2" width="50.28515625" style="258" customWidth="1"/>
    <col min="3" max="3" width="13.5703125" style="258" customWidth="1"/>
    <col min="4" max="4" width="15.5703125" style="366" customWidth="1"/>
    <col min="5" max="5" width="16.42578125" style="366" customWidth="1"/>
    <col min="6" max="7" width="15.5703125" style="258" bestFit="1" customWidth="1"/>
    <col min="8" max="8" width="16.85546875" style="258" bestFit="1" customWidth="1"/>
    <col min="9" max="10" width="15.85546875" style="367" bestFit="1" customWidth="1"/>
    <col min="11" max="11" width="72.42578125" style="367" customWidth="1"/>
    <col min="12" max="16384" width="9.140625" style="258"/>
  </cols>
  <sheetData>
    <row r="1" spans="1:11" ht="75">
      <c r="A1" s="256" t="s">
        <v>0</v>
      </c>
      <c r="B1" s="257" t="s">
        <v>283</v>
      </c>
      <c r="C1" s="175" t="s">
        <v>474</v>
      </c>
      <c r="D1" s="175" t="s">
        <v>469</v>
      </c>
      <c r="E1" s="175" t="s">
        <v>470</v>
      </c>
      <c r="F1" s="175" t="s">
        <v>471</v>
      </c>
      <c r="G1" s="175" t="s">
        <v>472</v>
      </c>
      <c r="H1" s="175" t="s">
        <v>473</v>
      </c>
      <c r="I1" s="178" t="s">
        <v>607</v>
      </c>
      <c r="J1" s="218" t="s">
        <v>608</v>
      </c>
      <c r="K1" s="178" t="s">
        <v>419</v>
      </c>
    </row>
    <row r="2" spans="1:11">
      <c r="A2" s="214">
        <v>1</v>
      </c>
      <c r="B2" s="259">
        <v>2</v>
      </c>
      <c r="C2" s="259">
        <v>3</v>
      </c>
      <c r="D2" s="259">
        <v>4</v>
      </c>
      <c r="E2" s="259">
        <v>5</v>
      </c>
      <c r="F2" s="260">
        <v>6</v>
      </c>
      <c r="G2" s="260">
        <v>7</v>
      </c>
      <c r="H2" s="260">
        <v>8</v>
      </c>
      <c r="I2" s="261">
        <v>9</v>
      </c>
      <c r="J2" s="261">
        <v>10</v>
      </c>
      <c r="K2" s="261">
        <v>11</v>
      </c>
    </row>
    <row r="3" spans="1:11" ht="19.5">
      <c r="A3" s="262" t="s">
        <v>282</v>
      </c>
      <c r="B3" s="263" t="s">
        <v>478</v>
      </c>
      <c r="C3" s="264" t="s">
        <v>217</v>
      </c>
      <c r="D3" s="264" t="s">
        <v>217</v>
      </c>
      <c r="E3" s="264" t="s">
        <v>217</v>
      </c>
      <c r="F3" s="265" t="s">
        <v>217</v>
      </c>
      <c r="G3" s="266" t="s">
        <v>217</v>
      </c>
      <c r="H3" s="266" t="s">
        <v>217</v>
      </c>
      <c r="I3" s="267" t="s">
        <v>217</v>
      </c>
      <c r="J3" s="268" t="s">
        <v>217</v>
      </c>
      <c r="K3" s="268" t="s">
        <v>217</v>
      </c>
    </row>
    <row r="4" spans="1:11" ht="75">
      <c r="A4" s="269" t="s">
        <v>281</v>
      </c>
      <c r="B4" s="270" t="s">
        <v>479</v>
      </c>
      <c r="C4" s="271" t="s">
        <v>217</v>
      </c>
      <c r="D4" s="271" t="s">
        <v>217</v>
      </c>
      <c r="E4" s="271" t="s">
        <v>217</v>
      </c>
      <c r="F4" s="272" t="s">
        <v>217</v>
      </c>
      <c r="G4" s="272" t="s">
        <v>217</v>
      </c>
      <c r="H4" s="272" t="s">
        <v>217</v>
      </c>
      <c r="I4" s="273" t="s">
        <v>217</v>
      </c>
      <c r="J4" s="273" t="s">
        <v>217</v>
      </c>
      <c r="K4" s="273" t="s">
        <v>217</v>
      </c>
    </row>
    <row r="5" spans="1:11" ht="37.5">
      <c r="A5" s="274" t="s">
        <v>280</v>
      </c>
      <c r="B5" s="275" t="s">
        <v>480</v>
      </c>
      <c r="C5" s="276">
        <f>C6+C7+C8</f>
        <v>30954</v>
      </c>
      <c r="D5" s="276">
        <f t="shared" ref="D5:H5" si="0">D6+D7+D8</f>
        <v>30004</v>
      </c>
      <c r="E5" s="276">
        <f t="shared" si="0"/>
        <v>7716</v>
      </c>
      <c r="F5" s="277">
        <f t="shared" si="0"/>
        <v>15654</v>
      </c>
      <c r="G5" s="277">
        <f>G6+G7+G8</f>
        <v>23888</v>
      </c>
      <c r="H5" s="277">
        <f t="shared" si="0"/>
        <v>30604</v>
      </c>
      <c r="I5" s="278">
        <f t="shared" ref="I5:I10" si="1">H5-D5</f>
        <v>600</v>
      </c>
      <c r="J5" s="279">
        <f>IFERROR(I5/ABS(D5), "-")</f>
        <v>1.9997333688841486E-2</v>
      </c>
      <c r="K5" s="280"/>
    </row>
    <row r="6" spans="1:11" ht="75">
      <c r="A6" s="274" t="s">
        <v>279</v>
      </c>
      <c r="B6" s="281" t="s">
        <v>516</v>
      </c>
      <c r="C6" s="282">
        <v>27441</v>
      </c>
      <c r="D6" s="282">
        <v>26537</v>
      </c>
      <c r="E6" s="282">
        <v>6689</v>
      </c>
      <c r="F6" s="283">
        <v>13729</v>
      </c>
      <c r="G6" s="283">
        <v>21083</v>
      </c>
      <c r="H6" s="283">
        <v>27068</v>
      </c>
      <c r="I6" s="278">
        <f t="shared" si="1"/>
        <v>531</v>
      </c>
      <c r="J6" s="279">
        <f t="shared" ref="J6:J14" si="2">IFERROR(I6/ABS(D6), "-")</f>
        <v>2.0009797641029507E-2</v>
      </c>
      <c r="K6" s="280"/>
    </row>
    <row r="7" spans="1:11" ht="37.5">
      <c r="A7" s="274" t="s">
        <v>278</v>
      </c>
      <c r="B7" s="281" t="s">
        <v>517</v>
      </c>
      <c r="C7" s="382">
        <v>3513</v>
      </c>
      <c r="D7" s="382">
        <v>3467</v>
      </c>
      <c r="E7" s="387">
        <v>1027</v>
      </c>
      <c r="F7" s="168">
        <v>1925</v>
      </c>
      <c r="G7" s="168">
        <v>2805</v>
      </c>
      <c r="H7" s="383">
        <v>3536</v>
      </c>
      <c r="I7" s="278">
        <f t="shared" si="1"/>
        <v>69</v>
      </c>
      <c r="J7" s="279">
        <f t="shared" si="2"/>
        <v>1.9901932506489761E-2</v>
      </c>
      <c r="K7" s="280"/>
    </row>
    <row r="8" spans="1:11" ht="56.25" hidden="1">
      <c r="A8" s="274" t="s">
        <v>277</v>
      </c>
      <c r="B8" s="281" t="s">
        <v>518</v>
      </c>
      <c r="C8" s="384">
        <f>C9+C10</f>
        <v>0</v>
      </c>
      <c r="D8" s="384">
        <f t="shared" ref="D8:H8" si="3">D9+D10</f>
        <v>0</v>
      </c>
      <c r="E8" s="388">
        <f t="shared" si="3"/>
        <v>0</v>
      </c>
      <c r="F8" s="389">
        <f t="shared" si="3"/>
        <v>0</v>
      </c>
      <c r="G8" s="389">
        <f t="shared" si="3"/>
        <v>0</v>
      </c>
      <c r="H8" s="385">
        <f t="shared" si="3"/>
        <v>0</v>
      </c>
      <c r="I8" s="278">
        <f t="shared" si="1"/>
        <v>0</v>
      </c>
      <c r="J8" s="279" t="str">
        <f t="shared" si="2"/>
        <v>-</v>
      </c>
      <c r="K8" s="280"/>
    </row>
    <row r="9" spans="1:11" ht="56.25" hidden="1">
      <c r="A9" s="284" t="s">
        <v>276</v>
      </c>
      <c r="B9" s="285" t="s">
        <v>481</v>
      </c>
      <c r="C9" s="382"/>
      <c r="D9" s="382"/>
      <c r="E9" s="387"/>
      <c r="F9" s="168"/>
      <c r="G9" s="168"/>
      <c r="H9" s="383"/>
      <c r="I9" s="278">
        <f t="shared" si="1"/>
        <v>0</v>
      </c>
      <c r="J9" s="279" t="str">
        <f t="shared" si="2"/>
        <v>-</v>
      </c>
      <c r="K9" s="280"/>
    </row>
    <row r="10" spans="1:11" ht="37.5" hidden="1">
      <c r="A10" s="284" t="s">
        <v>275</v>
      </c>
      <c r="B10" s="285" t="s">
        <v>482</v>
      </c>
      <c r="C10" s="382"/>
      <c r="D10" s="382"/>
      <c r="E10" s="387"/>
      <c r="F10" s="168"/>
      <c r="G10" s="168"/>
      <c r="H10" s="383"/>
      <c r="I10" s="278">
        <f t="shared" si="1"/>
        <v>0</v>
      </c>
      <c r="J10" s="279" t="str">
        <f t="shared" si="2"/>
        <v>-</v>
      </c>
      <c r="K10" s="280"/>
    </row>
    <row r="11" spans="1:11" ht="37.5">
      <c r="A11" s="284" t="s">
        <v>483</v>
      </c>
      <c r="B11" s="286" t="s">
        <v>484</v>
      </c>
      <c r="C11" s="386">
        <f>C7+C10</f>
        <v>3513</v>
      </c>
      <c r="D11" s="386">
        <f t="shared" ref="D11:H11" si="4">D7+D10</f>
        <v>3467</v>
      </c>
      <c r="E11" s="390">
        <f t="shared" si="4"/>
        <v>1027</v>
      </c>
      <c r="F11" s="390">
        <f t="shared" si="4"/>
        <v>1925</v>
      </c>
      <c r="G11" s="390">
        <f t="shared" si="4"/>
        <v>2805</v>
      </c>
      <c r="H11" s="386">
        <f t="shared" si="4"/>
        <v>3536</v>
      </c>
      <c r="I11" s="287">
        <f>I7+I10</f>
        <v>69</v>
      </c>
      <c r="J11" s="288">
        <f t="shared" si="2"/>
        <v>1.9901932506489761E-2</v>
      </c>
      <c r="K11" s="289"/>
    </row>
    <row r="12" spans="1:11" ht="56.25">
      <c r="A12" s="284" t="s">
        <v>485</v>
      </c>
      <c r="B12" s="286" t="s">
        <v>544</v>
      </c>
      <c r="C12" s="290">
        <f>IFERROR(C11/C5, "-")</f>
        <v>0.11349098662531498</v>
      </c>
      <c r="D12" s="290">
        <f t="shared" ref="D12:H12" si="5">IFERROR(D11/D5, "-")</f>
        <v>0.1155512598320224</v>
      </c>
      <c r="E12" s="290">
        <f t="shared" si="5"/>
        <v>0.13310005184033177</v>
      </c>
      <c r="F12" s="290">
        <f t="shared" si="5"/>
        <v>0.12297176440526383</v>
      </c>
      <c r="G12" s="290">
        <f t="shared" si="5"/>
        <v>0.11742297387809779</v>
      </c>
      <c r="H12" s="290">
        <f t="shared" si="5"/>
        <v>0.11554045222846687</v>
      </c>
      <c r="I12" s="377">
        <f>H12-D12</f>
        <v>-1.0807603555526568E-5</v>
      </c>
      <c r="J12" s="288">
        <f>IFERROR(I12/ABS(D12), "-")</f>
        <v>-9.3530815425445381E-5</v>
      </c>
      <c r="K12" s="289"/>
    </row>
    <row r="13" spans="1:11" ht="22.5" hidden="1">
      <c r="A13" s="284" t="s">
        <v>486</v>
      </c>
      <c r="B13" s="286" t="s">
        <v>519</v>
      </c>
      <c r="C13" s="291"/>
      <c r="D13" s="291"/>
      <c r="E13" s="291"/>
      <c r="F13" s="291"/>
      <c r="G13" s="291"/>
      <c r="H13" s="291"/>
      <c r="I13" s="278">
        <f t="shared" ref="I13" si="6">H13-D13</f>
        <v>0</v>
      </c>
      <c r="J13" s="288" t="str">
        <f t="shared" si="2"/>
        <v>-</v>
      </c>
      <c r="K13" s="289"/>
    </row>
    <row r="14" spans="1:11" ht="56.25" hidden="1">
      <c r="A14" s="284" t="s">
        <v>487</v>
      </c>
      <c r="B14" s="286" t="s">
        <v>488</v>
      </c>
      <c r="C14" s="290">
        <f>IFERROR(C8/C5, "-")</f>
        <v>0</v>
      </c>
      <c r="D14" s="290">
        <f t="shared" ref="D14:H14" si="7">IFERROR(D8/D5, "-")</f>
        <v>0</v>
      </c>
      <c r="E14" s="290">
        <f t="shared" si="7"/>
        <v>0</v>
      </c>
      <c r="F14" s="290">
        <f t="shared" si="7"/>
        <v>0</v>
      </c>
      <c r="G14" s="290">
        <f t="shared" si="7"/>
        <v>0</v>
      </c>
      <c r="H14" s="290">
        <f t="shared" si="7"/>
        <v>0</v>
      </c>
      <c r="I14" s="377">
        <f t="shared" ref="I14" si="8">H14-D14</f>
        <v>0</v>
      </c>
      <c r="J14" s="288" t="str">
        <f t="shared" si="2"/>
        <v>-</v>
      </c>
      <c r="K14" s="289"/>
    </row>
    <row r="15" spans="1:11" ht="19.5">
      <c r="A15" s="269" t="s">
        <v>274</v>
      </c>
      <c r="B15" s="292" t="s">
        <v>489</v>
      </c>
      <c r="C15" s="293" t="s">
        <v>217</v>
      </c>
      <c r="D15" s="293" t="s">
        <v>217</v>
      </c>
      <c r="E15" s="293" t="s">
        <v>217</v>
      </c>
      <c r="F15" s="294" t="s">
        <v>217</v>
      </c>
      <c r="G15" s="272" t="s">
        <v>217</v>
      </c>
      <c r="H15" s="272" t="s">
        <v>217</v>
      </c>
      <c r="I15" s="295" t="s">
        <v>217</v>
      </c>
      <c r="J15" s="273" t="s">
        <v>217</v>
      </c>
      <c r="K15" s="273" t="s">
        <v>217</v>
      </c>
    </row>
    <row r="16" spans="1:11">
      <c r="A16" s="296" t="s">
        <v>273</v>
      </c>
      <c r="B16" s="297" t="s">
        <v>272</v>
      </c>
      <c r="C16" s="140">
        <v>201</v>
      </c>
      <c r="D16" s="140">
        <v>202</v>
      </c>
      <c r="E16" s="140">
        <v>214</v>
      </c>
      <c r="F16" s="4">
        <v>203</v>
      </c>
      <c r="G16" s="4">
        <v>197</v>
      </c>
      <c r="H16" s="4">
        <v>200</v>
      </c>
      <c r="I16" s="298">
        <f t="shared" ref="I16:I30" si="9">H16-D16</f>
        <v>-2</v>
      </c>
      <c r="J16" s="279">
        <f t="shared" ref="J16:J30" si="10">IFERROR(I16/ABS(D16), "-")</f>
        <v>-9.9009900990099011E-3</v>
      </c>
      <c r="K16" s="54"/>
    </row>
    <row r="17" spans="1:11">
      <c r="A17" s="296" t="s">
        <v>350</v>
      </c>
      <c r="B17" s="299" t="s">
        <v>490</v>
      </c>
      <c r="C17" s="141">
        <v>47482</v>
      </c>
      <c r="D17" s="141">
        <v>46495</v>
      </c>
      <c r="E17" s="141">
        <v>12206</v>
      </c>
      <c r="F17" s="4">
        <v>23330</v>
      </c>
      <c r="G17" s="4">
        <v>33424</v>
      </c>
      <c r="H17" s="48">
        <v>45100</v>
      </c>
      <c r="I17" s="298">
        <f t="shared" si="9"/>
        <v>-1395</v>
      </c>
      <c r="J17" s="279">
        <f t="shared" si="10"/>
        <v>-3.0003226153349823E-2</v>
      </c>
      <c r="K17" s="53"/>
    </row>
    <row r="18" spans="1:11" ht="37.5">
      <c r="A18" s="300" t="s">
        <v>284</v>
      </c>
      <c r="B18" s="301" t="s">
        <v>491</v>
      </c>
      <c r="C18" s="302">
        <v>359</v>
      </c>
      <c r="D18" s="302">
        <v>352</v>
      </c>
      <c r="E18" s="302">
        <v>364</v>
      </c>
      <c r="F18" s="303">
        <v>375</v>
      </c>
      <c r="G18" s="303">
        <v>388</v>
      </c>
      <c r="H18" s="303">
        <v>399</v>
      </c>
      <c r="I18" s="304">
        <f t="shared" si="9"/>
        <v>47</v>
      </c>
      <c r="J18" s="305">
        <f t="shared" si="10"/>
        <v>0.13352272727272727</v>
      </c>
      <c r="K18" s="373" t="s">
        <v>610</v>
      </c>
    </row>
    <row r="19" spans="1:11" ht="37.5">
      <c r="A19" s="300" t="s">
        <v>285</v>
      </c>
      <c r="B19" s="301" t="s">
        <v>492</v>
      </c>
      <c r="C19" s="302">
        <v>354</v>
      </c>
      <c r="D19" s="302">
        <v>353</v>
      </c>
      <c r="E19" s="302">
        <v>358</v>
      </c>
      <c r="F19" s="303">
        <v>408</v>
      </c>
      <c r="G19" s="303">
        <v>418</v>
      </c>
      <c r="H19" s="303">
        <v>428</v>
      </c>
      <c r="I19" s="304">
        <f t="shared" si="9"/>
        <v>75</v>
      </c>
      <c r="J19" s="305">
        <f t="shared" si="10"/>
        <v>0.21246458923512748</v>
      </c>
      <c r="K19" s="373" t="s">
        <v>610</v>
      </c>
    </row>
    <row r="20" spans="1:11" ht="41.25">
      <c r="A20" s="296" t="s">
        <v>271</v>
      </c>
      <c r="B20" s="306" t="s">
        <v>520</v>
      </c>
      <c r="C20" s="140">
        <v>7640</v>
      </c>
      <c r="D20" s="140">
        <v>7394</v>
      </c>
      <c r="E20" s="140">
        <v>2154</v>
      </c>
      <c r="F20" s="4">
        <v>3907</v>
      </c>
      <c r="G20" s="4">
        <v>5589</v>
      </c>
      <c r="H20" s="48">
        <v>7246</v>
      </c>
      <c r="I20" s="298">
        <f t="shared" si="9"/>
        <v>-148</v>
      </c>
      <c r="J20" s="279">
        <f t="shared" si="10"/>
        <v>-2.0016229375169056E-2</v>
      </c>
      <c r="K20" s="53"/>
    </row>
    <row r="21" spans="1:11" ht="41.25">
      <c r="A21" s="307" t="s">
        <v>348</v>
      </c>
      <c r="B21" s="308" t="s">
        <v>545</v>
      </c>
      <c r="C21" s="140">
        <v>7046</v>
      </c>
      <c r="D21" s="140">
        <v>6906</v>
      </c>
      <c r="E21" s="140">
        <v>1992</v>
      </c>
      <c r="F21" s="4">
        <v>3645</v>
      </c>
      <c r="G21" s="4">
        <v>5225</v>
      </c>
      <c r="H21" s="48">
        <v>6771</v>
      </c>
      <c r="I21" s="298">
        <f t="shared" si="9"/>
        <v>-135</v>
      </c>
      <c r="J21" s="279">
        <f t="shared" si="10"/>
        <v>-1.9548218940052129E-2</v>
      </c>
      <c r="K21" s="379"/>
    </row>
    <row r="22" spans="1:11" ht="41.25">
      <c r="A22" s="296" t="s">
        <v>270</v>
      </c>
      <c r="B22" s="297" t="s">
        <v>521</v>
      </c>
      <c r="C22" s="140">
        <v>4127</v>
      </c>
      <c r="D22" s="140">
        <v>3927</v>
      </c>
      <c r="E22" s="140">
        <v>1127</v>
      </c>
      <c r="F22" s="4">
        <v>1982</v>
      </c>
      <c r="G22" s="4">
        <v>2784</v>
      </c>
      <c r="H22" s="48">
        <v>3709</v>
      </c>
      <c r="I22" s="298">
        <f t="shared" si="9"/>
        <v>-218</v>
      </c>
      <c r="J22" s="279">
        <f t="shared" si="10"/>
        <v>-5.551311433664375E-2</v>
      </c>
      <c r="K22" s="368" t="s">
        <v>614</v>
      </c>
    </row>
    <row r="23" spans="1:11" ht="41.25">
      <c r="A23" s="307" t="s">
        <v>349</v>
      </c>
      <c r="B23" s="308" t="s">
        <v>546</v>
      </c>
      <c r="C23" s="140">
        <v>3565</v>
      </c>
      <c r="D23" s="140">
        <v>3461</v>
      </c>
      <c r="E23" s="140">
        <v>968</v>
      </c>
      <c r="F23" s="4">
        <v>1728</v>
      </c>
      <c r="G23" s="4">
        <v>2433</v>
      </c>
      <c r="H23" s="48">
        <v>3257</v>
      </c>
      <c r="I23" s="298">
        <f t="shared" si="9"/>
        <v>-204</v>
      </c>
      <c r="J23" s="279">
        <f t="shared" si="10"/>
        <v>-5.8942502167003759E-2</v>
      </c>
      <c r="K23" s="368" t="s">
        <v>614</v>
      </c>
    </row>
    <row r="24" spans="1:11" ht="41.25">
      <c r="A24" s="307" t="s">
        <v>493</v>
      </c>
      <c r="B24" s="306" t="s">
        <v>522</v>
      </c>
      <c r="C24" s="380">
        <v>3513</v>
      </c>
      <c r="D24" s="380">
        <v>3467</v>
      </c>
      <c r="E24" s="391">
        <v>1027</v>
      </c>
      <c r="F24" s="392">
        <v>1925</v>
      </c>
      <c r="G24" s="392">
        <v>2805</v>
      </c>
      <c r="H24" s="381">
        <v>3536</v>
      </c>
      <c r="I24" s="298">
        <f t="shared" si="9"/>
        <v>69</v>
      </c>
      <c r="J24" s="279">
        <f t="shared" si="10"/>
        <v>1.9901932506489761E-2</v>
      </c>
      <c r="K24" s="53"/>
    </row>
    <row r="25" spans="1:11" ht="41.25">
      <c r="A25" s="307" t="s">
        <v>494</v>
      </c>
      <c r="B25" s="308" t="s">
        <v>547</v>
      </c>
      <c r="C25" s="140">
        <v>3481</v>
      </c>
      <c r="D25" s="140">
        <v>3445</v>
      </c>
      <c r="E25" s="140">
        <v>1024</v>
      </c>
      <c r="F25" s="4">
        <v>1917</v>
      </c>
      <c r="G25" s="4">
        <v>2792</v>
      </c>
      <c r="H25" s="48">
        <v>3514</v>
      </c>
      <c r="I25" s="298">
        <f t="shared" si="9"/>
        <v>69</v>
      </c>
      <c r="J25" s="279">
        <f t="shared" si="10"/>
        <v>2.0029027576197386E-2</v>
      </c>
      <c r="K25" s="53"/>
    </row>
    <row r="26" spans="1:11" ht="60" hidden="1">
      <c r="A26" s="296" t="s">
        <v>269</v>
      </c>
      <c r="B26" s="286" t="s">
        <v>594</v>
      </c>
      <c r="C26" s="309"/>
      <c r="D26" s="309"/>
      <c r="E26" s="309"/>
      <c r="F26" s="4"/>
      <c r="G26" s="4"/>
      <c r="H26" s="48"/>
      <c r="I26" s="298">
        <f t="shared" si="9"/>
        <v>0</v>
      </c>
      <c r="J26" s="279" t="str">
        <f t="shared" si="10"/>
        <v>-</v>
      </c>
      <c r="K26" s="53"/>
    </row>
    <row r="27" spans="1:11" ht="69.75" customHeight="1">
      <c r="A27" s="296" t="s">
        <v>268</v>
      </c>
      <c r="B27" s="286" t="s">
        <v>595</v>
      </c>
      <c r="C27" s="309">
        <v>661</v>
      </c>
      <c r="D27" s="309">
        <v>727</v>
      </c>
      <c r="E27" s="309">
        <v>69</v>
      </c>
      <c r="F27" s="4">
        <v>204</v>
      </c>
      <c r="G27" s="4">
        <v>400</v>
      </c>
      <c r="H27" s="48">
        <v>705</v>
      </c>
      <c r="I27" s="298">
        <f t="shared" si="9"/>
        <v>-22</v>
      </c>
      <c r="J27" s="279">
        <f t="shared" si="10"/>
        <v>-3.0261348005502064E-2</v>
      </c>
      <c r="K27" s="53"/>
    </row>
    <row r="28" spans="1:11">
      <c r="A28" s="296" t="s">
        <v>267</v>
      </c>
      <c r="B28" s="286" t="s">
        <v>335</v>
      </c>
      <c r="C28" s="309">
        <v>12319</v>
      </c>
      <c r="D28" s="309">
        <v>13199</v>
      </c>
      <c r="E28" s="309">
        <v>3752</v>
      </c>
      <c r="F28" s="4">
        <v>6796</v>
      </c>
      <c r="G28" s="4">
        <v>9560</v>
      </c>
      <c r="H28" s="48">
        <v>12703</v>
      </c>
      <c r="I28" s="298">
        <f t="shared" si="9"/>
        <v>-496</v>
      </c>
      <c r="J28" s="279">
        <f t="shared" si="10"/>
        <v>-3.7578604439730282E-2</v>
      </c>
      <c r="K28" s="53"/>
    </row>
    <row r="29" spans="1:11" ht="37.5">
      <c r="A29" s="300" t="s">
        <v>266</v>
      </c>
      <c r="B29" s="301" t="s">
        <v>336</v>
      </c>
      <c r="C29" s="310">
        <v>6.25</v>
      </c>
      <c r="D29" s="310">
        <v>6.26</v>
      </c>
      <c r="E29" s="310">
        <v>6.13</v>
      </c>
      <c r="F29" s="311">
        <v>6.12</v>
      </c>
      <c r="G29" s="311">
        <v>6.23</v>
      </c>
      <c r="H29" s="312">
        <v>6.2</v>
      </c>
      <c r="I29" s="313">
        <f t="shared" si="9"/>
        <v>-5.9999999999999609E-2</v>
      </c>
      <c r="J29" s="305">
        <f t="shared" si="10"/>
        <v>-9.5846645367411512E-3</v>
      </c>
      <c r="K29" s="314"/>
    </row>
    <row r="30" spans="1:11" ht="37.5">
      <c r="A30" s="300" t="s">
        <v>265</v>
      </c>
      <c r="B30" s="301" t="s">
        <v>548</v>
      </c>
      <c r="C30" s="310">
        <v>64.92</v>
      </c>
      <c r="D30" s="310">
        <v>62.87</v>
      </c>
      <c r="E30" s="310">
        <v>66.44</v>
      </c>
      <c r="F30" s="311">
        <v>62.68</v>
      </c>
      <c r="G30" s="311">
        <v>67.75</v>
      </c>
      <c r="H30" s="312">
        <v>64.13</v>
      </c>
      <c r="I30" s="313">
        <f t="shared" si="9"/>
        <v>1.259999999999998</v>
      </c>
      <c r="J30" s="305">
        <f t="shared" si="10"/>
        <v>2.0041355177350055E-2</v>
      </c>
      <c r="K30" s="314"/>
    </row>
    <row r="31" spans="1:11" ht="19.5">
      <c r="A31" s="315" t="s">
        <v>264</v>
      </c>
      <c r="B31" s="316" t="s">
        <v>495</v>
      </c>
      <c r="C31" s="317" t="s">
        <v>217</v>
      </c>
      <c r="D31" s="317" t="s">
        <v>217</v>
      </c>
      <c r="E31" s="317" t="s">
        <v>217</v>
      </c>
      <c r="F31" s="294" t="s">
        <v>217</v>
      </c>
      <c r="G31" s="272" t="s">
        <v>217</v>
      </c>
      <c r="H31" s="272" t="s">
        <v>217</v>
      </c>
      <c r="I31" s="295" t="s">
        <v>217</v>
      </c>
      <c r="J31" s="273" t="s">
        <v>217</v>
      </c>
      <c r="K31" s="273" t="s">
        <v>217</v>
      </c>
    </row>
    <row r="32" spans="1:11">
      <c r="A32" s="300" t="s">
        <v>262</v>
      </c>
      <c r="B32" s="301" t="s">
        <v>496</v>
      </c>
      <c r="C32" s="318">
        <f>C33+C35</f>
        <v>122618</v>
      </c>
      <c r="D32" s="318">
        <f t="shared" ref="D32:H32" si="11">D33+D35</f>
        <v>120899</v>
      </c>
      <c r="E32" s="318">
        <f t="shared" si="11"/>
        <v>31229</v>
      </c>
      <c r="F32" s="319">
        <f t="shared" si="11"/>
        <v>60959.1</v>
      </c>
      <c r="G32" s="319">
        <f t="shared" si="11"/>
        <v>92185.5</v>
      </c>
      <c r="H32" s="320">
        <f t="shared" si="11"/>
        <v>120816.6</v>
      </c>
      <c r="I32" s="298">
        <f t="shared" ref="I32:I40" si="12">H32-D32</f>
        <v>-82.399999999994179</v>
      </c>
      <c r="J32" s="279">
        <f t="shared" ref="J32:J40" si="13">IFERROR(I32/ABS(D32), "-")</f>
        <v>-6.8156064152717708E-4</v>
      </c>
      <c r="K32" s="53"/>
    </row>
    <row r="33" spans="1:11">
      <c r="A33" s="296" t="s">
        <v>337</v>
      </c>
      <c r="B33" s="321" t="s">
        <v>497</v>
      </c>
      <c r="C33" s="141">
        <v>99773</v>
      </c>
      <c r="D33" s="141">
        <v>98432</v>
      </c>
      <c r="E33" s="141">
        <v>25650</v>
      </c>
      <c r="F33" s="50">
        <v>49813.1</v>
      </c>
      <c r="G33" s="50">
        <v>75269.5</v>
      </c>
      <c r="H33" s="44">
        <v>98349.6</v>
      </c>
      <c r="I33" s="298">
        <f t="shared" si="12"/>
        <v>-82.399999999994179</v>
      </c>
      <c r="J33" s="279">
        <f t="shared" si="13"/>
        <v>-8.3712613784129328E-4</v>
      </c>
      <c r="K33" s="53"/>
    </row>
    <row r="34" spans="1:11">
      <c r="A34" s="296" t="s">
        <v>338</v>
      </c>
      <c r="B34" s="322" t="s">
        <v>263</v>
      </c>
      <c r="C34" s="141">
        <v>996</v>
      </c>
      <c r="D34" s="141">
        <v>824</v>
      </c>
      <c r="E34" s="141">
        <v>261</v>
      </c>
      <c r="F34" s="50">
        <v>458.1</v>
      </c>
      <c r="G34" s="50">
        <v>571.5</v>
      </c>
      <c r="H34" s="44">
        <v>741.6</v>
      </c>
      <c r="I34" s="298">
        <f t="shared" si="12"/>
        <v>-82.399999999999977</v>
      </c>
      <c r="J34" s="279">
        <f t="shared" si="13"/>
        <v>-9.9999999999999978E-2</v>
      </c>
      <c r="K34" s="368" t="s">
        <v>614</v>
      </c>
    </row>
    <row r="35" spans="1:11">
      <c r="A35" s="296" t="s">
        <v>339</v>
      </c>
      <c r="B35" s="321" t="s">
        <v>498</v>
      </c>
      <c r="C35" s="141">
        <v>22845</v>
      </c>
      <c r="D35" s="141">
        <v>22467</v>
      </c>
      <c r="E35" s="141">
        <v>5579</v>
      </c>
      <c r="F35" s="50">
        <v>11146</v>
      </c>
      <c r="G35" s="50">
        <v>16916</v>
      </c>
      <c r="H35" s="44">
        <v>22467</v>
      </c>
      <c r="I35" s="298">
        <f t="shared" si="12"/>
        <v>0</v>
      </c>
      <c r="J35" s="279">
        <f t="shared" si="13"/>
        <v>0</v>
      </c>
      <c r="K35" s="53"/>
    </row>
    <row r="36" spans="1:11" hidden="1">
      <c r="A36" s="296" t="s">
        <v>340</v>
      </c>
      <c r="B36" s="322" t="s">
        <v>263</v>
      </c>
      <c r="C36" s="141">
        <v>0</v>
      </c>
      <c r="D36" s="141">
        <v>0</v>
      </c>
      <c r="E36" s="141">
        <v>0</v>
      </c>
      <c r="F36" s="50">
        <v>0</v>
      </c>
      <c r="G36" s="50">
        <v>0</v>
      </c>
      <c r="H36" s="44">
        <v>0</v>
      </c>
      <c r="I36" s="298">
        <f t="shared" si="12"/>
        <v>0</v>
      </c>
      <c r="J36" s="279" t="str">
        <f t="shared" si="13"/>
        <v>-</v>
      </c>
      <c r="K36" s="53"/>
    </row>
    <row r="37" spans="1:11" hidden="1">
      <c r="A37" s="296" t="s">
        <v>342</v>
      </c>
      <c r="B37" s="299" t="s">
        <v>347</v>
      </c>
      <c r="C37" s="141"/>
      <c r="D37" s="141"/>
      <c r="E37" s="141"/>
      <c r="F37" s="50"/>
      <c r="G37" s="50"/>
      <c r="H37" s="44"/>
      <c r="I37" s="298">
        <f t="shared" si="12"/>
        <v>0</v>
      </c>
      <c r="J37" s="279" t="str">
        <f t="shared" si="13"/>
        <v>-</v>
      </c>
      <c r="K37" s="53"/>
    </row>
    <row r="38" spans="1:11" ht="37.5" hidden="1">
      <c r="A38" s="296" t="s">
        <v>343</v>
      </c>
      <c r="B38" s="299" t="s">
        <v>549</v>
      </c>
      <c r="C38" s="141"/>
      <c r="D38" s="141"/>
      <c r="E38" s="141"/>
      <c r="F38" s="50"/>
      <c r="G38" s="50"/>
      <c r="H38" s="44"/>
      <c r="I38" s="298">
        <f t="shared" si="12"/>
        <v>0</v>
      </c>
      <c r="J38" s="279" t="str">
        <f t="shared" si="13"/>
        <v>-</v>
      </c>
      <c r="K38" s="53"/>
    </row>
    <row r="39" spans="1:11" ht="22.5">
      <c r="A39" s="296" t="s">
        <v>341</v>
      </c>
      <c r="B39" s="301" t="s">
        <v>596</v>
      </c>
      <c r="C39" s="310">
        <v>6604</v>
      </c>
      <c r="D39" s="310">
        <v>6220</v>
      </c>
      <c r="E39" s="310">
        <v>1214</v>
      </c>
      <c r="F39" s="50">
        <v>2859.4</v>
      </c>
      <c r="G39" s="50">
        <v>4669.6000000000004</v>
      </c>
      <c r="H39" s="44">
        <v>6138.6</v>
      </c>
      <c r="I39" s="298">
        <f t="shared" si="12"/>
        <v>-81.399999999999636</v>
      </c>
      <c r="J39" s="279">
        <f t="shared" si="13"/>
        <v>-1.3086816720257176E-2</v>
      </c>
      <c r="K39" s="53"/>
    </row>
    <row r="40" spans="1:11" ht="36.75" customHeight="1">
      <c r="A40" s="323" t="s">
        <v>358</v>
      </c>
      <c r="B40" s="324" t="s">
        <v>360</v>
      </c>
      <c r="C40" s="325">
        <v>907</v>
      </c>
      <c r="D40" s="325">
        <v>814</v>
      </c>
      <c r="E40" s="325">
        <v>199</v>
      </c>
      <c r="F40" s="51">
        <v>392.40000000000003</v>
      </c>
      <c r="G40" s="50">
        <v>525.6</v>
      </c>
      <c r="H40" s="44">
        <v>732.6</v>
      </c>
      <c r="I40" s="326">
        <f t="shared" si="12"/>
        <v>-81.399999999999977</v>
      </c>
      <c r="J40" s="279">
        <f t="shared" si="13"/>
        <v>-9.9999999999999978E-2</v>
      </c>
      <c r="K40" s="368" t="s">
        <v>614</v>
      </c>
    </row>
    <row r="41" spans="1:11" ht="19.5" hidden="1">
      <c r="A41" s="262" t="s">
        <v>261</v>
      </c>
      <c r="B41" s="327" t="s">
        <v>499</v>
      </c>
      <c r="C41" s="328" t="s">
        <v>217</v>
      </c>
      <c r="D41" s="328" t="s">
        <v>217</v>
      </c>
      <c r="E41" s="328" t="s">
        <v>217</v>
      </c>
      <c r="F41" s="265" t="s">
        <v>217</v>
      </c>
      <c r="G41" s="266" t="s">
        <v>217</v>
      </c>
      <c r="H41" s="266" t="s">
        <v>217</v>
      </c>
      <c r="I41" s="267" t="s">
        <v>217</v>
      </c>
      <c r="J41" s="268" t="s">
        <v>217</v>
      </c>
      <c r="K41" s="268" t="s">
        <v>217</v>
      </c>
    </row>
    <row r="42" spans="1:11" hidden="1">
      <c r="A42" s="274" t="s">
        <v>260</v>
      </c>
      <c r="B42" s="329" t="s">
        <v>253</v>
      </c>
      <c r="C42" s="232"/>
      <c r="D42" s="232"/>
      <c r="E42" s="232"/>
      <c r="F42" s="44"/>
      <c r="G42" s="44"/>
      <c r="H42" s="44"/>
      <c r="I42" s="261">
        <f t="shared" ref="I42:I46" si="14">H42-D42</f>
        <v>0</v>
      </c>
      <c r="J42" s="279" t="str">
        <f t="shared" ref="J42:J46" si="15">IFERROR(I42/ABS(D42), "-")</f>
        <v>-</v>
      </c>
      <c r="K42" s="53"/>
    </row>
    <row r="43" spans="1:11" hidden="1">
      <c r="A43" s="274" t="s">
        <v>259</v>
      </c>
      <c r="B43" s="329" t="s">
        <v>523</v>
      </c>
      <c r="C43" s="330"/>
      <c r="D43" s="330"/>
      <c r="E43" s="330"/>
      <c r="F43" s="65"/>
      <c r="G43" s="65"/>
      <c r="H43" s="65"/>
      <c r="I43" s="331">
        <f t="shared" si="14"/>
        <v>0</v>
      </c>
      <c r="J43" s="279" t="str">
        <f t="shared" si="15"/>
        <v>-</v>
      </c>
      <c r="K43" s="53"/>
    </row>
    <row r="44" spans="1:11" hidden="1">
      <c r="A44" s="274" t="s">
        <v>258</v>
      </c>
      <c r="B44" s="329" t="s">
        <v>524</v>
      </c>
      <c r="C44" s="330"/>
      <c r="D44" s="330"/>
      <c r="E44" s="330"/>
      <c r="F44" s="65"/>
      <c r="G44" s="65"/>
      <c r="H44" s="65"/>
      <c r="I44" s="331">
        <f t="shared" si="14"/>
        <v>0</v>
      </c>
      <c r="J44" s="279" t="str">
        <f t="shared" si="15"/>
        <v>-</v>
      </c>
      <c r="K44" s="53"/>
    </row>
    <row r="45" spans="1:11" hidden="1">
      <c r="A45" s="274" t="s">
        <v>257</v>
      </c>
      <c r="B45" s="329" t="s">
        <v>249</v>
      </c>
      <c r="C45" s="232"/>
      <c r="D45" s="232"/>
      <c r="E45" s="232"/>
      <c r="F45" s="44"/>
      <c r="G45" s="44"/>
      <c r="H45" s="44"/>
      <c r="I45" s="261">
        <f t="shared" si="14"/>
        <v>0</v>
      </c>
      <c r="J45" s="279" t="str">
        <f t="shared" si="15"/>
        <v>-</v>
      </c>
      <c r="K45" s="53"/>
    </row>
    <row r="46" spans="1:11" hidden="1">
      <c r="A46" s="274" t="s">
        <v>256</v>
      </c>
      <c r="B46" s="329" t="s">
        <v>525</v>
      </c>
      <c r="C46" s="232"/>
      <c r="D46" s="232"/>
      <c r="E46" s="232"/>
      <c r="F46" s="44"/>
      <c r="G46" s="44"/>
      <c r="H46" s="44"/>
      <c r="I46" s="261">
        <f t="shared" si="14"/>
        <v>0</v>
      </c>
      <c r="J46" s="279" t="str">
        <f t="shared" si="15"/>
        <v>-</v>
      </c>
      <c r="K46" s="53"/>
    </row>
    <row r="47" spans="1:11" ht="19.5" hidden="1">
      <c r="A47" s="262" t="s">
        <v>255</v>
      </c>
      <c r="B47" s="327" t="s">
        <v>500</v>
      </c>
      <c r="C47" s="328" t="s">
        <v>217</v>
      </c>
      <c r="D47" s="328" t="s">
        <v>217</v>
      </c>
      <c r="E47" s="328" t="s">
        <v>217</v>
      </c>
      <c r="F47" s="265" t="s">
        <v>217</v>
      </c>
      <c r="G47" s="266" t="s">
        <v>217</v>
      </c>
      <c r="H47" s="266" t="s">
        <v>217</v>
      </c>
      <c r="I47" s="267" t="s">
        <v>217</v>
      </c>
      <c r="J47" s="268" t="s">
        <v>217</v>
      </c>
      <c r="K47" s="268" t="s">
        <v>217</v>
      </c>
    </row>
    <row r="48" spans="1:11" hidden="1">
      <c r="A48" s="274" t="s">
        <v>254</v>
      </c>
      <c r="B48" s="329" t="s">
        <v>253</v>
      </c>
      <c r="C48" s="232"/>
      <c r="D48" s="232"/>
      <c r="E48" s="232"/>
      <c r="F48" s="44"/>
      <c r="G48" s="44"/>
      <c r="H48" s="44"/>
      <c r="I48" s="261">
        <f t="shared" ref="I48:I52" si="16">H48-D48</f>
        <v>0</v>
      </c>
      <c r="J48" s="279" t="str">
        <f t="shared" ref="J48:J52" si="17">IFERROR(I48/ABS(D48), "-")</f>
        <v>-</v>
      </c>
      <c r="K48" s="53"/>
    </row>
    <row r="49" spans="1:11" hidden="1">
      <c r="A49" s="274" t="s">
        <v>252</v>
      </c>
      <c r="B49" s="329" t="s">
        <v>523</v>
      </c>
      <c r="C49" s="330"/>
      <c r="D49" s="330"/>
      <c r="E49" s="330"/>
      <c r="F49" s="65"/>
      <c r="G49" s="65"/>
      <c r="H49" s="65"/>
      <c r="I49" s="331">
        <f t="shared" si="16"/>
        <v>0</v>
      </c>
      <c r="J49" s="279" t="str">
        <f t="shared" si="17"/>
        <v>-</v>
      </c>
      <c r="K49" s="53"/>
    </row>
    <row r="50" spans="1:11" hidden="1">
      <c r="A50" s="274" t="s">
        <v>251</v>
      </c>
      <c r="B50" s="329" t="s">
        <v>524</v>
      </c>
      <c r="C50" s="330"/>
      <c r="D50" s="330"/>
      <c r="E50" s="330"/>
      <c r="F50" s="65"/>
      <c r="G50" s="65"/>
      <c r="H50" s="65"/>
      <c r="I50" s="331">
        <f t="shared" si="16"/>
        <v>0</v>
      </c>
      <c r="J50" s="279" t="str">
        <f t="shared" si="17"/>
        <v>-</v>
      </c>
      <c r="K50" s="53"/>
    </row>
    <row r="51" spans="1:11" hidden="1">
      <c r="A51" s="274" t="s">
        <v>250</v>
      </c>
      <c r="B51" s="329" t="s">
        <v>249</v>
      </c>
      <c r="C51" s="232"/>
      <c r="D51" s="232"/>
      <c r="E51" s="232"/>
      <c r="F51" s="44"/>
      <c r="G51" s="44"/>
      <c r="H51" s="44"/>
      <c r="I51" s="261">
        <f t="shared" si="16"/>
        <v>0</v>
      </c>
      <c r="J51" s="279" t="str">
        <f t="shared" si="17"/>
        <v>-</v>
      </c>
      <c r="K51" s="53"/>
    </row>
    <row r="52" spans="1:11" hidden="1">
      <c r="A52" s="274" t="s">
        <v>248</v>
      </c>
      <c r="B52" s="329" t="s">
        <v>525</v>
      </c>
      <c r="C52" s="232"/>
      <c r="D52" s="232"/>
      <c r="E52" s="232"/>
      <c r="F52" s="44"/>
      <c r="G52" s="44"/>
      <c r="H52" s="44"/>
      <c r="I52" s="261">
        <f t="shared" si="16"/>
        <v>0</v>
      </c>
      <c r="J52" s="279" t="str">
        <f t="shared" si="17"/>
        <v>-</v>
      </c>
      <c r="K52" s="53"/>
    </row>
    <row r="53" spans="1:11" ht="19.5">
      <c r="A53" s="262" t="s">
        <v>247</v>
      </c>
      <c r="B53" s="332" t="s">
        <v>501</v>
      </c>
      <c r="C53" s="333" t="s">
        <v>217</v>
      </c>
      <c r="D53" s="333" t="s">
        <v>217</v>
      </c>
      <c r="E53" s="333" t="s">
        <v>217</v>
      </c>
      <c r="F53" s="265" t="s">
        <v>217</v>
      </c>
      <c r="G53" s="266" t="s">
        <v>217</v>
      </c>
      <c r="H53" s="266" t="s">
        <v>217</v>
      </c>
      <c r="I53" s="267" t="s">
        <v>217</v>
      </c>
      <c r="J53" s="268" t="s">
        <v>217</v>
      </c>
      <c r="K53" s="268" t="s">
        <v>217</v>
      </c>
    </row>
    <row r="54" spans="1:11" ht="19.5">
      <c r="A54" s="334" t="s">
        <v>246</v>
      </c>
      <c r="B54" s="335" t="s">
        <v>245</v>
      </c>
      <c r="C54" s="336">
        <f>SUM(C55:C59)</f>
        <v>540</v>
      </c>
      <c r="D54" s="336">
        <f t="shared" ref="D54:H54" si="18">SUM(D55:D59)</f>
        <v>549</v>
      </c>
      <c r="E54" s="336">
        <f t="shared" si="18"/>
        <v>549</v>
      </c>
      <c r="F54" s="336">
        <f t="shared" si="18"/>
        <v>551</v>
      </c>
      <c r="G54" s="336">
        <f t="shared" si="18"/>
        <v>554</v>
      </c>
      <c r="H54" s="336">
        <f t="shared" si="18"/>
        <v>556</v>
      </c>
      <c r="I54" s="337">
        <f t="shared" ref="I54:I77" si="19">H54-D54</f>
        <v>7</v>
      </c>
      <c r="J54" s="185">
        <f t="shared" ref="J54:J77" si="20">IFERROR(I54/ABS(D54), "-")</f>
        <v>1.2750455373406194E-2</v>
      </c>
      <c r="K54" s="144"/>
    </row>
    <row r="55" spans="1:11" ht="22.5">
      <c r="A55" s="296" t="s">
        <v>244</v>
      </c>
      <c r="B55" s="338" t="s">
        <v>526</v>
      </c>
      <c r="C55" s="142">
        <v>102</v>
      </c>
      <c r="D55" s="142">
        <v>103</v>
      </c>
      <c r="E55" s="142">
        <v>103</v>
      </c>
      <c r="F55" s="50">
        <v>103</v>
      </c>
      <c r="G55" s="50">
        <v>105</v>
      </c>
      <c r="H55" s="50">
        <v>105</v>
      </c>
      <c r="I55" s="298">
        <f t="shared" si="19"/>
        <v>2</v>
      </c>
      <c r="J55" s="279">
        <f t="shared" si="20"/>
        <v>1.9417475728155338E-2</v>
      </c>
      <c r="K55" s="54"/>
    </row>
    <row r="56" spans="1:11" ht="22.5">
      <c r="A56" s="296" t="s">
        <v>243</v>
      </c>
      <c r="B56" s="338" t="s">
        <v>527</v>
      </c>
      <c r="C56" s="142">
        <v>183</v>
      </c>
      <c r="D56" s="142">
        <v>186</v>
      </c>
      <c r="E56" s="142">
        <v>186</v>
      </c>
      <c r="F56" s="44">
        <v>187</v>
      </c>
      <c r="G56" s="44">
        <v>187</v>
      </c>
      <c r="H56" s="44">
        <v>188</v>
      </c>
      <c r="I56" s="261">
        <f t="shared" si="19"/>
        <v>2</v>
      </c>
      <c r="J56" s="279">
        <f t="shared" si="20"/>
        <v>1.0752688172043012E-2</v>
      </c>
      <c r="K56" s="53"/>
    </row>
    <row r="57" spans="1:11" ht="41.25">
      <c r="A57" s="296" t="s">
        <v>242</v>
      </c>
      <c r="B57" s="339" t="s">
        <v>528</v>
      </c>
      <c r="C57" s="143">
        <v>43</v>
      </c>
      <c r="D57" s="143">
        <v>45</v>
      </c>
      <c r="E57" s="143">
        <v>45</v>
      </c>
      <c r="F57" s="44">
        <v>46</v>
      </c>
      <c r="G57" s="44">
        <v>46</v>
      </c>
      <c r="H57" s="44">
        <v>46</v>
      </c>
      <c r="I57" s="261">
        <f t="shared" si="19"/>
        <v>1</v>
      </c>
      <c r="J57" s="279">
        <f t="shared" si="20"/>
        <v>2.2222222222222223E-2</v>
      </c>
      <c r="K57" s="53"/>
    </row>
    <row r="58" spans="1:11" ht="22.5">
      <c r="A58" s="296" t="s">
        <v>241</v>
      </c>
      <c r="B58" s="339" t="s">
        <v>529</v>
      </c>
      <c r="C58" s="143">
        <v>39</v>
      </c>
      <c r="D58" s="143">
        <v>38</v>
      </c>
      <c r="E58" s="143">
        <v>38</v>
      </c>
      <c r="F58" s="44">
        <v>38</v>
      </c>
      <c r="G58" s="44">
        <v>38</v>
      </c>
      <c r="H58" s="44">
        <v>38</v>
      </c>
      <c r="I58" s="261">
        <f t="shared" si="19"/>
        <v>0</v>
      </c>
      <c r="J58" s="279">
        <f t="shared" si="20"/>
        <v>0</v>
      </c>
      <c r="K58" s="53"/>
    </row>
    <row r="59" spans="1:11" ht="22.5">
      <c r="A59" s="296" t="s">
        <v>240</v>
      </c>
      <c r="B59" s="339" t="s">
        <v>530</v>
      </c>
      <c r="C59" s="143">
        <v>173</v>
      </c>
      <c r="D59" s="143">
        <v>177</v>
      </c>
      <c r="E59" s="143">
        <v>177</v>
      </c>
      <c r="F59" s="44">
        <v>177</v>
      </c>
      <c r="G59" s="44">
        <v>178</v>
      </c>
      <c r="H59" s="44">
        <v>179</v>
      </c>
      <c r="I59" s="261">
        <f t="shared" si="19"/>
        <v>2</v>
      </c>
      <c r="J59" s="279">
        <f t="shared" si="20"/>
        <v>1.1299435028248588E-2</v>
      </c>
      <c r="K59" s="53"/>
    </row>
    <row r="60" spans="1:11" ht="37.5">
      <c r="A60" s="334" t="s">
        <v>239</v>
      </c>
      <c r="B60" s="340" t="s">
        <v>238</v>
      </c>
      <c r="C60" s="336">
        <f>IFERROR((C61*C55+C62*C56+C63*C57+C64*C58+C65*C59)/C54, "-")</f>
        <v>1155.712962962963</v>
      </c>
      <c r="D60" s="336">
        <f t="shared" ref="D60:G60" si="21">IFERROR((D61*D55+D62*D56+D63*D57+D64*D58+D65*D59)/D54, "-")</f>
        <v>1170.3460837887067</v>
      </c>
      <c r="E60" s="336">
        <f t="shared" si="21"/>
        <v>1216.5828779599271</v>
      </c>
      <c r="F60" s="336">
        <f t="shared" si="21"/>
        <v>1265.0725952813068</v>
      </c>
      <c r="G60" s="336">
        <f t="shared" si="21"/>
        <v>1276.7382671480145</v>
      </c>
      <c r="H60" s="336">
        <f>IFERROR((H61*H55+H62*H56+H63*H57+H64*H58+H65*H59)/H54, "-")</f>
        <v>1265.205035971223</v>
      </c>
      <c r="I60" s="337">
        <f>IFERROR(H60-D60, "-")</f>
        <v>94.858952182516305</v>
      </c>
      <c r="J60" s="185">
        <f t="shared" si="20"/>
        <v>8.1052052462493709E-2</v>
      </c>
      <c r="K60" s="144"/>
    </row>
    <row r="61" spans="1:11" ht="22.5">
      <c r="A61" s="296" t="s">
        <v>237</v>
      </c>
      <c r="B61" s="338" t="s">
        <v>526</v>
      </c>
      <c r="C61" s="142">
        <v>1940</v>
      </c>
      <c r="D61" s="142">
        <v>2042</v>
      </c>
      <c r="E61" s="142">
        <v>2041</v>
      </c>
      <c r="F61" s="44">
        <v>2128</v>
      </c>
      <c r="G61" s="50">
        <v>2169</v>
      </c>
      <c r="H61" s="44">
        <v>2205</v>
      </c>
      <c r="I61" s="261">
        <f t="shared" si="19"/>
        <v>163</v>
      </c>
      <c r="J61" s="279">
        <f t="shared" si="20"/>
        <v>7.9823702252693432E-2</v>
      </c>
      <c r="K61" s="368" t="s">
        <v>615</v>
      </c>
    </row>
    <row r="62" spans="1:11" ht="22.5">
      <c r="A62" s="296" t="s">
        <v>236</v>
      </c>
      <c r="B62" s="338" t="s">
        <v>527</v>
      </c>
      <c r="C62" s="142">
        <v>1204</v>
      </c>
      <c r="D62" s="142">
        <v>1207</v>
      </c>
      <c r="E62" s="142">
        <v>1261</v>
      </c>
      <c r="F62" s="44">
        <v>1316</v>
      </c>
      <c r="G62" s="50">
        <v>1300</v>
      </c>
      <c r="H62" s="44">
        <v>1305</v>
      </c>
      <c r="I62" s="261">
        <f t="shared" si="19"/>
        <v>98</v>
      </c>
      <c r="J62" s="279">
        <f t="shared" si="20"/>
        <v>8.1193040596520299E-2</v>
      </c>
      <c r="K62" s="368" t="s">
        <v>615</v>
      </c>
    </row>
    <row r="63" spans="1:11" ht="41.25">
      <c r="A63" s="296" t="s">
        <v>235</v>
      </c>
      <c r="B63" s="339" t="s">
        <v>528</v>
      </c>
      <c r="C63" s="143">
        <v>755</v>
      </c>
      <c r="D63" s="143">
        <v>718</v>
      </c>
      <c r="E63" s="143">
        <v>786</v>
      </c>
      <c r="F63" s="44">
        <v>822</v>
      </c>
      <c r="G63" s="50">
        <v>790</v>
      </c>
      <c r="H63" s="44">
        <v>776</v>
      </c>
      <c r="I63" s="261">
        <f t="shared" si="19"/>
        <v>58</v>
      </c>
      <c r="J63" s="279">
        <f t="shared" si="20"/>
        <v>8.0779944289693595E-2</v>
      </c>
      <c r="K63" s="368" t="s">
        <v>615</v>
      </c>
    </row>
    <row r="64" spans="1:11" ht="22.5">
      <c r="A64" s="296" t="s">
        <v>234</v>
      </c>
      <c r="B64" s="339" t="s">
        <v>529</v>
      </c>
      <c r="C64" s="143">
        <v>1461</v>
      </c>
      <c r="D64" s="143">
        <v>1420</v>
      </c>
      <c r="E64" s="143">
        <v>1676</v>
      </c>
      <c r="F64" s="44">
        <v>1597</v>
      </c>
      <c r="G64" s="50">
        <v>1566</v>
      </c>
      <c r="H64" s="44">
        <v>1533</v>
      </c>
      <c r="I64" s="261">
        <f t="shared" si="19"/>
        <v>113</v>
      </c>
      <c r="J64" s="279">
        <f t="shared" si="20"/>
        <v>7.9577464788732399E-2</v>
      </c>
      <c r="K64" s="368" t="s">
        <v>615</v>
      </c>
    </row>
    <row r="65" spans="1:11" ht="22.5">
      <c r="A65" s="296" t="s">
        <v>233</v>
      </c>
      <c r="B65" s="339" t="s">
        <v>530</v>
      </c>
      <c r="C65" s="143">
        <v>673</v>
      </c>
      <c r="D65" s="143">
        <v>686</v>
      </c>
      <c r="E65" s="143">
        <v>701</v>
      </c>
      <c r="F65" s="44">
        <v>753</v>
      </c>
      <c r="G65" s="50">
        <v>790</v>
      </c>
      <c r="H65" s="44">
        <v>741</v>
      </c>
      <c r="I65" s="261">
        <f t="shared" si="19"/>
        <v>55</v>
      </c>
      <c r="J65" s="279">
        <f t="shared" si="20"/>
        <v>8.0174927113702624E-2</v>
      </c>
      <c r="K65" s="368" t="s">
        <v>615</v>
      </c>
    </row>
    <row r="66" spans="1:11" ht="19.5">
      <c r="A66" s="334" t="s">
        <v>232</v>
      </c>
      <c r="B66" s="335" t="s">
        <v>231</v>
      </c>
      <c r="C66" s="336">
        <f>SUM(C67:C71)</f>
        <v>570</v>
      </c>
      <c r="D66" s="336">
        <f t="shared" ref="D66:G66" si="22">SUM(D67:D71)</f>
        <v>563</v>
      </c>
      <c r="E66" s="336">
        <f t="shared" si="22"/>
        <v>563</v>
      </c>
      <c r="F66" s="336">
        <f t="shared" si="22"/>
        <v>566</v>
      </c>
      <c r="G66" s="336">
        <f t="shared" si="22"/>
        <v>570</v>
      </c>
      <c r="H66" s="336">
        <f>SUM(H67:H71)</f>
        <v>571</v>
      </c>
      <c r="I66" s="337">
        <f t="shared" si="19"/>
        <v>8</v>
      </c>
      <c r="J66" s="185">
        <f t="shared" si="20"/>
        <v>1.4209591474245116E-2</v>
      </c>
      <c r="K66" s="144"/>
    </row>
    <row r="67" spans="1:11" ht="22.5">
      <c r="A67" s="296" t="s">
        <v>230</v>
      </c>
      <c r="B67" s="338" t="s">
        <v>526</v>
      </c>
      <c r="C67" s="142">
        <v>110</v>
      </c>
      <c r="D67" s="142">
        <v>118</v>
      </c>
      <c r="E67" s="142">
        <v>118</v>
      </c>
      <c r="F67" s="50">
        <v>118</v>
      </c>
      <c r="G67" s="50">
        <v>120</v>
      </c>
      <c r="H67" s="50">
        <v>120</v>
      </c>
      <c r="I67" s="298">
        <f t="shared" si="19"/>
        <v>2</v>
      </c>
      <c r="J67" s="279">
        <f t="shared" si="20"/>
        <v>1.6949152542372881E-2</v>
      </c>
      <c r="K67" s="54"/>
    </row>
    <row r="68" spans="1:11" ht="22.5">
      <c r="A68" s="296" t="s">
        <v>229</v>
      </c>
      <c r="B68" s="338" t="s">
        <v>527</v>
      </c>
      <c r="C68" s="142">
        <v>188</v>
      </c>
      <c r="D68" s="142">
        <v>179</v>
      </c>
      <c r="E68" s="142">
        <v>179</v>
      </c>
      <c r="F68" s="44">
        <v>180</v>
      </c>
      <c r="G68" s="44">
        <v>181</v>
      </c>
      <c r="H68" s="44">
        <v>181</v>
      </c>
      <c r="I68" s="261">
        <f t="shared" si="19"/>
        <v>2</v>
      </c>
      <c r="J68" s="279">
        <f t="shared" si="20"/>
        <v>1.11731843575419E-2</v>
      </c>
      <c r="K68" s="53"/>
    </row>
    <row r="69" spans="1:11" ht="41.25">
      <c r="A69" s="296" t="s">
        <v>228</v>
      </c>
      <c r="B69" s="339" t="s">
        <v>528</v>
      </c>
      <c r="C69" s="143">
        <v>43</v>
      </c>
      <c r="D69" s="143">
        <v>44</v>
      </c>
      <c r="E69" s="143">
        <v>44</v>
      </c>
      <c r="F69" s="44">
        <v>45</v>
      </c>
      <c r="G69" s="44">
        <v>45</v>
      </c>
      <c r="H69" s="44">
        <v>45</v>
      </c>
      <c r="I69" s="261">
        <f t="shared" si="19"/>
        <v>1</v>
      </c>
      <c r="J69" s="279">
        <f t="shared" si="20"/>
        <v>2.2727272727272728E-2</v>
      </c>
      <c r="K69" s="53"/>
    </row>
    <row r="70" spans="1:11" ht="22.5">
      <c r="A70" s="296" t="s">
        <v>227</v>
      </c>
      <c r="B70" s="339" t="s">
        <v>529</v>
      </c>
      <c r="C70" s="143">
        <v>38</v>
      </c>
      <c r="D70" s="143">
        <v>38</v>
      </c>
      <c r="E70" s="143">
        <v>38</v>
      </c>
      <c r="F70" s="44">
        <v>39</v>
      </c>
      <c r="G70" s="44">
        <v>39</v>
      </c>
      <c r="H70" s="44">
        <v>39</v>
      </c>
      <c r="I70" s="261">
        <f t="shared" si="19"/>
        <v>1</v>
      </c>
      <c r="J70" s="279">
        <f t="shared" si="20"/>
        <v>2.6315789473684209E-2</v>
      </c>
      <c r="K70" s="53"/>
    </row>
    <row r="71" spans="1:11" ht="22.5">
      <c r="A71" s="296" t="s">
        <v>226</v>
      </c>
      <c r="B71" s="339" t="s">
        <v>530</v>
      </c>
      <c r="C71" s="143">
        <v>191</v>
      </c>
      <c r="D71" s="143">
        <v>184</v>
      </c>
      <c r="E71" s="143">
        <v>184</v>
      </c>
      <c r="F71" s="44">
        <v>184</v>
      </c>
      <c r="G71" s="44">
        <v>185</v>
      </c>
      <c r="H71" s="44">
        <v>186</v>
      </c>
      <c r="I71" s="261">
        <f t="shared" si="19"/>
        <v>2</v>
      </c>
      <c r="J71" s="279">
        <f t="shared" si="20"/>
        <v>1.0869565217391304E-2</v>
      </c>
      <c r="K71" s="53"/>
    </row>
    <row r="72" spans="1:11" ht="19.5">
      <c r="A72" s="334" t="s">
        <v>225</v>
      </c>
      <c r="B72" s="335" t="s">
        <v>531</v>
      </c>
      <c r="C72" s="336">
        <f>IFERROR((C73*C67+C74*C68+C75*C69+C76*C70+C77*C71)/C66, "-")</f>
        <v>1099.3192982456139</v>
      </c>
      <c r="D72" s="336">
        <f t="shared" ref="D72:H72" si="23">IFERROR((D73*D67+D74*D68+D75*D69+D76*D70+D77*D71)/D66, "-")</f>
        <v>1149.3428063943161</v>
      </c>
      <c r="E72" s="336">
        <f t="shared" si="23"/>
        <v>1180.6838365896981</v>
      </c>
      <c r="F72" s="336">
        <f t="shared" si="23"/>
        <v>1231.1819787985867</v>
      </c>
      <c r="G72" s="336">
        <f t="shared" si="23"/>
        <v>1266.719298245614</v>
      </c>
      <c r="H72" s="336">
        <f t="shared" si="23"/>
        <v>1242.555166374781</v>
      </c>
      <c r="I72" s="337">
        <f>IFERROR(H72-D72, "-")</f>
        <v>93.212359980464953</v>
      </c>
      <c r="J72" s="185">
        <f t="shared" si="20"/>
        <v>8.1100572833346374E-2</v>
      </c>
      <c r="K72" s="145"/>
    </row>
    <row r="73" spans="1:11" ht="22.5">
      <c r="A73" s="296" t="s">
        <v>224</v>
      </c>
      <c r="B73" s="338" t="s">
        <v>526</v>
      </c>
      <c r="C73" s="142">
        <v>1801</v>
      </c>
      <c r="D73" s="142">
        <v>1782</v>
      </c>
      <c r="E73" s="142">
        <v>1911</v>
      </c>
      <c r="F73" s="50">
        <v>1993</v>
      </c>
      <c r="G73" s="50">
        <v>1995</v>
      </c>
      <c r="H73" s="50">
        <v>1925</v>
      </c>
      <c r="I73" s="298">
        <f t="shared" si="19"/>
        <v>143</v>
      </c>
      <c r="J73" s="279">
        <f t="shared" si="20"/>
        <v>8.0246913580246909E-2</v>
      </c>
      <c r="K73" s="374" t="s">
        <v>615</v>
      </c>
    </row>
    <row r="74" spans="1:11" ht="22.5">
      <c r="A74" s="296" t="s">
        <v>223</v>
      </c>
      <c r="B74" s="338" t="s">
        <v>527</v>
      </c>
      <c r="C74" s="142">
        <v>1178</v>
      </c>
      <c r="D74" s="142">
        <v>1254</v>
      </c>
      <c r="E74" s="142">
        <v>1253</v>
      </c>
      <c r="F74" s="44">
        <v>1311</v>
      </c>
      <c r="G74" s="44">
        <v>1315</v>
      </c>
      <c r="H74" s="44">
        <v>1355</v>
      </c>
      <c r="I74" s="261">
        <f t="shared" si="19"/>
        <v>101</v>
      </c>
      <c r="J74" s="279">
        <f t="shared" si="20"/>
        <v>8.0542264752791068E-2</v>
      </c>
      <c r="K74" s="368" t="s">
        <v>615</v>
      </c>
    </row>
    <row r="75" spans="1:11" ht="41.25">
      <c r="A75" s="296" t="s">
        <v>222</v>
      </c>
      <c r="B75" s="339" t="s">
        <v>528</v>
      </c>
      <c r="C75" s="143">
        <v>754</v>
      </c>
      <c r="D75" s="143">
        <v>735</v>
      </c>
      <c r="E75" s="143">
        <v>803</v>
      </c>
      <c r="F75" s="44">
        <v>805</v>
      </c>
      <c r="G75" s="44">
        <v>770</v>
      </c>
      <c r="H75" s="44">
        <v>794</v>
      </c>
      <c r="I75" s="261">
        <f t="shared" si="19"/>
        <v>59</v>
      </c>
      <c r="J75" s="279">
        <f t="shared" si="20"/>
        <v>8.0272108843537415E-2</v>
      </c>
      <c r="K75" s="368" t="s">
        <v>615</v>
      </c>
    </row>
    <row r="76" spans="1:11" ht="22.5">
      <c r="A76" s="296" t="s">
        <v>221</v>
      </c>
      <c r="B76" s="339" t="s">
        <v>529</v>
      </c>
      <c r="C76" s="143">
        <v>1509</v>
      </c>
      <c r="D76" s="143">
        <v>1541</v>
      </c>
      <c r="E76" s="143">
        <v>1676</v>
      </c>
      <c r="F76" s="44">
        <v>1650</v>
      </c>
      <c r="G76" s="44">
        <v>1660</v>
      </c>
      <c r="H76" s="44">
        <v>1664</v>
      </c>
      <c r="I76" s="261">
        <f t="shared" si="19"/>
        <v>123</v>
      </c>
      <c r="J76" s="279">
        <f t="shared" si="20"/>
        <v>7.9818299805321222E-2</v>
      </c>
      <c r="K76" s="368" t="s">
        <v>615</v>
      </c>
    </row>
    <row r="77" spans="1:11" ht="22.5">
      <c r="A77" s="296" t="s">
        <v>220</v>
      </c>
      <c r="B77" s="339" t="s">
        <v>530</v>
      </c>
      <c r="C77" s="143">
        <v>614</v>
      </c>
      <c r="D77" s="143">
        <v>660</v>
      </c>
      <c r="E77" s="143">
        <v>630</v>
      </c>
      <c r="F77" s="44">
        <v>680</v>
      </c>
      <c r="G77" s="44">
        <v>785</v>
      </c>
      <c r="H77" s="44">
        <v>713</v>
      </c>
      <c r="I77" s="261">
        <f t="shared" si="19"/>
        <v>53</v>
      </c>
      <c r="J77" s="279">
        <f t="shared" si="20"/>
        <v>8.0303030303030307E-2</v>
      </c>
      <c r="K77" s="368" t="s">
        <v>615</v>
      </c>
    </row>
    <row r="78" spans="1:11" ht="19.5">
      <c r="A78" s="341" t="s">
        <v>502</v>
      </c>
      <c r="B78" s="342" t="s">
        <v>503</v>
      </c>
      <c r="C78" s="343" t="s">
        <v>217</v>
      </c>
      <c r="D78" s="343" t="s">
        <v>217</v>
      </c>
      <c r="E78" s="343" t="s">
        <v>217</v>
      </c>
      <c r="F78" s="344" t="s">
        <v>217</v>
      </c>
      <c r="G78" s="345" t="s">
        <v>217</v>
      </c>
      <c r="H78" s="345" t="s">
        <v>217</v>
      </c>
      <c r="I78" s="346" t="s">
        <v>217</v>
      </c>
      <c r="J78" s="347" t="s">
        <v>217</v>
      </c>
      <c r="K78" s="347" t="s">
        <v>217</v>
      </c>
    </row>
    <row r="79" spans="1:11">
      <c r="A79" s="296" t="s">
        <v>504</v>
      </c>
      <c r="B79" s="339" t="s">
        <v>505</v>
      </c>
      <c r="C79" s="146">
        <v>16</v>
      </c>
      <c r="D79" s="146">
        <v>16</v>
      </c>
      <c r="E79" s="146">
        <v>4</v>
      </c>
      <c r="F79" s="52">
        <v>8</v>
      </c>
      <c r="G79" s="44">
        <v>12</v>
      </c>
      <c r="H79" s="44">
        <v>16</v>
      </c>
      <c r="I79" s="348">
        <f t="shared" ref="I79:I82" si="24">H79-D79</f>
        <v>0</v>
      </c>
      <c r="J79" s="279">
        <f t="shared" ref="J79:J82" si="25">IFERROR(I79/ABS(D79), "-")</f>
        <v>0</v>
      </c>
      <c r="K79" s="53"/>
    </row>
    <row r="80" spans="1:11" ht="56.25">
      <c r="A80" s="296" t="s">
        <v>506</v>
      </c>
      <c r="B80" s="339" t="s">
        <v>507</v>
      </c>
      <c r="C80" s="146">
        <v>48</v>
      </c>
      <c r="D80" s="146">
        <v>48</v>
      </c>
      <c r="E80" s="146">
        <v>49</v>
      </c>
      <c r="F80" s="52">
        <v>52</v>
      </c>
      <c r="G80" s="44">
        <v>50</v>
      </c>
      <c r="H80" s="44">
        <v>49</v>
      </c>
      <c r="I80" s="348">
        <f t="shared" si="24"/>
        <v>1</v>
      </c>
      <c r="J80" s="279">
        <f t="shared" si="25"/>
        <v>2.0833333333333332E-2</v>
      </c>
      <c r="K80" s="53"/>
    </row>
    <row r="81" spans="1:11" ht="56.25">
      <c r="A81" s="296" t="s">
        <v>508</v>
      </c>
      <c r="B81" s="339" t="s">
        <v>597</v>
      </c>
      <c r="C81" s="146">
        <v>24</v>
      </c>
      <c r="D81" s="146">
        <v>24</v>
      </c>
      <c r="E81" s="146">
        <v>23</v>
      </c>
      <c r="F81" s="52">
        <v>23</v>
      </c>
      <c r="G81" s="44">
        <v>23</v>
      </c>
      <c r="H81" s="44">
        <v>23</v>
      </c>
      <c r="I81" s="348">
        <f t="shared" si="24"/>
        <v>-1</v>
      </c>
      <c r="J81" s="279">
        <f t="shared" si="25"/>
        <v>-4.1666666666666664E-2</v>
      </c>
      <c r="K81" s="53"/>
    </row>
    <row r="82" spans="1:11" ht="56.25">
      <c r="A82" s="296" t="s">
        <v>509</v>
      </c>
      <c r="B82" s="339" t="s">
        <v>510</v>
      </c>
      <c r="C82" s="146">
        <v>39</v>
      </c>
      <c r="D82" s="146">
        <v>39</v>
      </c>
      <c r="E82" s="146">
        <v>39</v>
      </c>
      <c r="F82" s="52">
        <v>38</v>
      </c>
      <c r="G82" s="44">
        <v>38</v>
      </c>
      <c r="H82" s="44">
        <v>38</v>
      </c>
      <c r="I82" s="348">
        <f t="shared" si="24"/>
        <v>-1</v>
      </c>
      <c r="J82" s="279">
        <f t="shared" si="25"/>
        <v>-2.564102564102564E-2</v>
      </c>
      <c r="K82" s="53"/>
    </row>
    <row r="83" spans="1:11" ht="19.5">
      <c r="A83" s="334" t="s">
        <v>219</v>
      </c>
      <c r="B83" s="335" t="s">
        <v>511</v>
      </c>
      <c r="C83" s="349" t="s">
        <v>217</v>
      </c>
      <c r="D83" s="349" t="s">
        <v>217</v>
      </c>
      <c r="E83" s="349" t="s">
        <v>217</v>
      </c>
      <c r="F83" s="265" t="s">
        <v>217</v>
      </c>
      <c r="G83" s="266" t="s">
        <v>217</v>
      </c>
      <c r="H83" s="266" t="s">
        <v>217</v>
      </c>
      <c r="I83" s="267" t="s">
        <v>217</v>
      </c>
      <c r="J83" s="268" t="s">
        <v>217</v>
      </c>
      <c r="K83" s="268" t="s">
        <v>217</v>
      </c>
    </row>
    <row r="84" spans="1:11" ht="22.5">
      <c r="A84" s="300" t="s">
        <v>218</v>
      </c>
      <c r="B84" s="301" t="s">
        <v>532</v>
      </c>
      <c r="C84" s="369">
        <v>26842.3</v>
      </c>
      <c r="D84" s="369">
        <v>26842.3</v>
      </c>
      <c r="E84" s="369">
        <v>26842.3</v>
      </c>
      <c r="F84" s="369">
        <v>26842.3</v>
      </c>
      <c r="G84" s="369">
        <v>26842.3</v>
      </c>
      <c r="H84" s="369">
        <v>26842.3</v>
      </c>
      <c r="I84" s="350">
        <f t="shared" ref="I84:I89" si="26">H84-D84</f>
        <v>0</v>
      </c>
      <c r="J84" s="305">
        <f t="shared" ref="J84:J89" si="27">IFERROR(I84/ABS(D84), "-")</f>
        <v>0</v>
      </c>
      <c r="K84" s="314"/>
    </row>
    <row r="85" spans="1:11" ht="37.5">
      <c r="A85" s="300" t="s">
        <v>605</v>
      </c>
      <c r="B85" s="351" t="s">
        <v>361</v>
      </c>
      <c r="C85" s="370">
        <v>7361</v>
      </c>
      <c r="D85" s="370">
        <v>7361</v>
      </c>
      <c r="E85" s="370">
        <v>7361</v>
      </c>
      <c r="F85" s="370">
        <v>7361</v>
      </c>
      <c r="G85" s="370">
        <v>7361</v>
      </c>
      <c r="H85" s="370">
        <v>7361</v>
      </c>
      <c r="I85" s="350">
        <f t="shared" si="26"/>
        <v>0</v>
      </c>
      <c r="J85" s="305">
        <f>IFERROR(I85/ABS(D85), "-")</f>
        <v>0</v>
      </c>
      <c r="K85" s="314"/>
    </row>
    <row r="86" spans="1:11">
      <c r="A86" s="300" t="s">
        <v>604</v>
      </c>
      <c r="B86" s="352" t="s">
        <v>214</v>
      </c>
      <c r="C86" s="310">
        <v>3717530</v>
      </c>
      <c r="D86" s="371">
        <v>3739990</v>
      </c>
      <c r="E86" s="310">
        <v>1583860</v>
      </c>
      <c r="F86" s="311">
        <v>2164480</v>
      </c>
      <c r="G86" s="311">
        <v>2462360</v>
      </c>
      <c r="H86" s="312">
        <v>3859670</v>
      </c>
      <c r="I86" s="313">
        <f t="shared" si="26"/>
        <v>119680</v>
      </c>
      <c r="J86" s="305">
        <f t="shared" si="27"/>
        <v>3.2000085561726101E-2</v>
      </c>
      <c r="K86" s="314"/>
    </row>
    <row r="87" spans="1:11">
      <c r="A87" s="300" t="s">
        <v>606</v>
      </c>
      <c r="B87" s="352" t="s">
        <v>213</v>
      </c>
      <c r="C87" s="310">
        <v>1837551</v>
      </c>
      <c r="D87" s="371">
        <v>1748100</v>
      </c>
      <c r="E87" s="310">
        <v>492707</v>
      </c>
      <c r="F87" s="311">
        <v>935930</v>
      </c>
      <c r="G87" s="311">
        <v>1370478</v>
      </c>
      <c r="H87" s="312">
        <v>1832009</v>
      </c>
      <c r="I87" s="313">
        <f t="shared" si="26"/>
        <v>83909</v>
      </c>
      <c r="J87" s="305">
        <f t="shared" si="27"/>
        <v>4.800011440993078E-2</v>
      </c>
      <c r="K87" s="314"/>
    </row>
    <row r="88" spans="1:11" ht="22.5">
      <c r="A88" s="300" t="s">
        <v>216</v>
      </c>
      <c r="B88" s="352" t="s">
        <v>533</v>
      </c>
      <c r="C88" s="310">
        <v>17834</v>
      </c>
      <c r="D88" s="371">
        <v>18032</v>
      </c>
      <c r="E88" s="310">
        <v>4538</v>
      </c>
      <c r="F88" s="311">
        <v>8923</v>
      </c>
      <c r="G88" s="311">
        <v>13283</v>
      </c>
      <c r="H88" s="312">
        <v>18916</v>
      </c>
      <c r="I88" s="313">
        <f t="shared" si="26"/>
        <v>884</v>
      </c>
      <c r="J88" s="305">
        <f t="shared" si="27"/>
        <v>4.9023957409050578E-2</v>
      </c>
      <c r="K88" s="314"/>
    </row>
    <row r="89" spans="1:11" ht="22.5">
      <c r="A89" s="300" t="s">
        <v>215</v>
      </c>
      <c r="B89" s="352" t="s">
        <v>534</v>
      </c>
      <c r="C89" s="310">
        <v>18485</v>
      </c>
      <c r="D89" s="371">
        <v>19033.009999999995</v>
      </c>
      <c r="E89" s="310">
        <v>4664</v>
      </c>
      <c r="F89" s="311">
        <v>9307</v>
      </c>
      <c r="G89" s="311">
        <v>13992</v>
      </c>
      <c r="H89" s="312">
        <v>19966</v>
      </c>
      <c r="I89" s="313">
        <f t="shared" si="26"/>
        <v>932.99000000000524</v>
      </c>
      <c r="J89" s="305">
        <f t="shared" si="27"/>
        <v>4.9019571786070908E-2</v>
      </c>
      <c r="K89" s="314"/>
    </row>
    <row r="90" spans="1:11" ht="37.5">
      <c r="A90" s="341" t="s">
        <v>512</v>
      </c>
      <c r="B90" s="353" t="s">
        <v>513</v>
      </c>
      <c r="C90" s="354" t="s">
        <v>217</v>
      </c>
      <c r="D90" s="354" t="s">
        <v>217</v>
      </c>
      <c r="E90" s="354" t="s">
        <v>217</v>
      </c>
      <c r="F90" s="355" t="s">
        <v>217</v>
      </c>
      <c r="G90" s="355" t="s">
        <v>217</v>
      </c>
      <c r="H90" s="345" t="s">
        <v>217</v>
      </c>
      <c r="I90" s="356" t="s">
        <v>217</v>
      </c>
      <c r="J90" s="356" t="s">
        <v>217</v>
      </c>
      <c r="K90" s="347" t="s">
        <v>217</v>
      </c>
    </row>
    <row r="91" spans="1:11" ht="41.25">
      <c r="A91" s="300" t="s">
        <v>514</v>
      </c>
      <c r="B91" s="352" t="s">
        <v>535</v>
      </c>
      <c r="C91" s="302"/>
      <c r="D91" s="302"/>
      <c r="E91" s="302"/>
      <c r="F91" s="303"/>
      <c r="G91" s="303"/>
      <c r="H91" s="357"/>
      <c r="I91" s="304">
        <f>H91-D91</f>
        <v>0</v>
      </c>
      <c r="J91" s="305" t="str">
        <f>IFERROR(I91/ABS(D91), "-")</f>
        <v>-</v>
      </c>
      <c r="K91" s="314"/>
    </row>
    <row r="92" spans="1:11">
      <c r="A92" s="358"/>
      <c r="B92" s="359"/>
      <c r="C92" s="360"/>
      <c r="D92" s="360"/>
      <c r="E92" s="360"/>
      <c r="F92" s="361"/>
      <c r="G92" s="361"/>
      <c r="H92" s="362"/>
      <c r="I92" s="363"/>
      <c r="J92" s="363"/>
      <c r="K92" s="364"/>
    </row>
    <row r="93" spans="1:11" s="365" customFormat="1">
      <c r="A93" s="396" t="s">
        <v>536</v>
      </c>
      <c r="B93" s="396"/>
      <c r="C93" s="396"/>
      <c r="D93" s="396"/>
      <c r="E93" s="396"/>
      <c r="F93" s="396"/>
      <c r="G93" s="396"/>
      <c r="H93" s="396"/>
      <c r="I93" s="396"/>
      <c r="J93" s="396"/>
      <c r="K93" s="396"/>
    </row>
    <row r="94" spans="1:11" s="365" customFormat="1" ht="18.75" customHeight="1">
      <c r="A94" s="396" t="s">
        <v>537</v>
      </c>
      <c r="B94" s="396"/>
      <c r="C94" s="396"/>
      <c r="D94" s="396"/>
      <c r="E94" s="396"/>
      <c r="F94" s="396"/>
      <c r="G94" s="396"/>
      <c r="H94" s="396"/>
      <c r="I94" s="396"/>
      <c r="J94" s="396"/>
      <c r="K94" s="396"/>
    </row>
    <row r="95" spans="1:11" s="365" customFormat="1" ht="18" customHeight="1">
      <c r="A95" s="396" t="s">
        <v>538</v>
      </c>
      <c r="B95" s="396"/>
      <c r="C95" s="396"/>
      <c r="D95" s="396"/>
      <c r="E95" s="396"/>
      <c r="F95" s="396"/>
      <c r="G95" s="396"/>
      <c r="H95" s="396"/>
      <c r="I95" s="396"/>
      <c r="J95" s="396"/>
      <c r="K95" s="396"/>
    </row>
    <row r="96" spans="1:11" s="365" customFormat="1" ht="21.75" customHeight="1">
      <c r="A96" s="396" t="s">
        <v>539</v>
      </c>
      <c r="B96" s="396"/>
      <c r="C96" s="396"/>
      <c r="D96" s="396"/>
      <c r="E96" s="396"/>
      <c r="F96" s="396"/>
      <c r="G96" s="396"/>
      <c r="H96" s="396"/>
      <c r="I96" s="396"/>
      <c r="J96" s="396"/>
      <c r="K96" s="396"/>
    </row>
    <row r="97" spans="1:11" s="365" customFormat="1" ht="18" customHeight="1">
      <c r="A97" s="396" t="s">
        <v>540</v>
      </c>
      <c r="B97" s="396"/>
      <c r="C97" s="396"/>
      <c r="D97" s="396"/>
      <c r="E97" s="396"/>
      <c r="F97" s="396"/>
      <c r="G97" s="396"/>
      <c r="H97" s="396"/>
      <c r="I97" s="396"/>
      <c r="J97" s="396"/>
      <c r="K97" s="396"/>
    </row>
    <row r="98" spans="1:11" s="365" customFormat="1" ht="17.25" customHeight="1">
      <c r="A98" s="396" t="s">
        <v>541</v>
      </c>
      <c r="B98" s="396"/>
      <c r="C98" s="396"/>
      <c r="D98" s="396"/>
      <c r="E98" s="396"/>
      <c r="F98" s="396"/>
      <c r="G98" s="396"/>
      <c r="H98" s="396"/>
      <c r="I98" s="396"/>
      <c r="J98" s="396"/>
      <c r="K98" s="396"/>
    </row>
    <row r="99" spans="1:11" s="365" customFormat="1">
      <c r="A99" s="396" t="s">
        <v>515</v>
      </c>
      <c r="B99" s="396"/>
      <c r="C99" s="396"/>
      <c r="D99" s="396"/>
      <c r="E99" s="396"/>
      <c r="F99" s="396"/>
      <c r="G99" s="396"/>
      <c r="H99" s="396"/>
      <c r="I99" s="396"/>
      <c r="J99" s="396"/>
      <c r="K99" s="396"/>
    </row>
    <row r="100" spans="1:11" s="365" customFormat="1">
      <c r="A100" s="396" t="s">
        <v>542</v>
      </c>
      <c r="B100" s="396"/>
      <c r="C100" s="396"/>
      <c r="D100" s="396"/>
      <c r="E100" s="396"/>
      <c r="F100" s="396"/>
      <c r="G100" s="396"/>
      <c r="H100" s="396"/>
      <c r="I100" s="396"/>
      <c r="J100" s="396"/>
      <c r="K100" s="396"/>
    </row>
    <row r="101" spans="1:11" s="365" customFormat="1" ht="41.25" customHeight="1">
      <c r="A101" s="396" t="s">
        <v>543</v>
      </c>
      <c r="B101" s="396"/>
      <c r="C101" s="396"/>
      <c r="D101" s="396"/>
      <c r="E101" s="396"/>
      <c r="F101" s="396"/>
      <c r="G101" s="396"/>
      <c r="H101" s="396"/>
      <c r="I101" s="396"/>
      <c r="J101" s="396"/>
      <c r="K101" s="396"/>
    </row>
    <row r="102" spans="1:11" s="365" customFormat="1" ht="40.5" customHeight="1">
      <c r="A102" s="396" t="s">
        <v>598</v>
      </c>
      <c r="B102" s="396"/>
      <c r="C102" s="396"/>
      <c r="D102" s="396"/>
      <c r="E102" s="396"/>
      <c r="F102" s="396"/>
      <c r="G102" s="396"/>
      <c r="H102" s="396"/>
      <c r="I102" s="396"/>
      <c r="J102" s="396"/>
      <c r="K102" s="396"/>
    </row>
    <row r="103" spans="1:11" s="365" customFormat="1">
      <c r="A103" s="396" t="s">
        <v>599</v>
      </c>
      <c r="B103" s="396"/>
      <c r="C103" s="396"/>
      <c r="D103" s="396"/>
      <c r="E103" s="396"/>
      <c r="F103" s="396"/>
      <c r="G103" s="396"/>
      <c r="H103" s="396"/>
      <c r="I103" s="396"/>
      <c r="J103" s="396"/>
      <c r="K103" s="396"/>
    </row>
    <row r="104" spans="1:11" s="365" customFormat="1">
      <c r="A104" s="396" t="s">
        <v>600</v>
      </c>
      <c r="B104" s="396"/>
      <c r="C104" s="396"/>
      <c r="D104" s="396"/>
      <c r="E104" s="396"/>
      <c r="F104" s="396"/>
      <c r="G104" s="396"/>
      <c r="H104" s="396"/>
      <c r="I104" s="396"/>
      <c r="J104" s="396"/>
      <c r="K104" s="396"/>
    </row>
    <row r="105" spans="1:11" s="365" customFormat="1">
      <c r="A105" s="396" t="s">
        <v>601</v>
      </c>
      <c r="B105" s="396"/>
      <c r="C105" s="396"/>
      <c r="D105" s="396"/>
      <c r="E105" s="396"/>
      <c r="F105" s="396"/>
      <c r="G105" s="396"/>
      <c r="H105" s="396"/>
      <c r="I105" s="396"/>
      <c r="J105" s="396"/>
      <c r="K105" s="396"/>
    </row>
  </sheetData>
  <mergeCells count="13">
    <mergeCell ref="A98:K98"/>
    <mergeCell ref="A93:K93"/>
    <mergeCell ref="A94:K94"/>
    <mergeCell ref="A95:K95"/>
    <mergeCell ref="A96:K96"/>
    <mergeCell ref="A97:K97"/>
    <mergeCell ref="A105:K105"/>
    <mergeCell ref="A99:K99"/>
    <mergeCell ref="A100:K100"/>
    <mergeCell ref="A101:K101"/>
    <mergeCell ref="A102:K102"/>
    <mergeCell ref="A103:K103"/>
    <mergeCell ref="A104:K104"/>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zoomScaleNormal="100" workbookViewId="0">
      <selection activeCell="B27" sqref="B27"/>
    </sheetView>
  </sheetViews>
  <sheetFormatPr defaultRowHeight="18"/>
  <cols>
    <col min="1" max="1" width="8.85546875" style="61" customWidth="1"/>
    <col min="2" max="2" width="65" style="61" bestFit="1" customWidth="1"/>
    <col min="3" max="4" width="13" style="17" bestFit="1" customWidth="1"/>
    <col min="5" max="6" width="12.140625" style="17" bestFit="1" customWidth="1"/>
    <col min="7" max="7" width="14.28515625" style="17" bestFit="1" customWidth="1"/>
    <col min="8" max="8" width="13" style="17" bestFit="1" customWidth="1"/>
    <col min="9" max="16384" width="9.140625" style="17"/>
  </cols>
  <sheetData>
    <row r="1" spans="1:8" s="61" customFormat="1" ht="56.25">
      <c r="A1" s="18" t="s">
        <v>468</v>
      </c>
      <c r="B1" s="18" t="s">
        <v>447</v>
      </c>
      <c r="C1" s="1" t="s">
        <v>474</v>
      </c>
      <c r="D1" s="1" t="s">
        <v>469</v>
      </c>
      <c r="E1" s="1" t="s">
        <v>470</v>
      </c>
      <c r="F1" s="1" t="s">
        <v>471</v>
      </c>
      <c r="G1" s="1" t="s">
        <v>472</v>
      </c>
      <c r="H1" s="1" t="s">
        <v>473</v>
      </c>
    </row>
    <row r="2" spans="1:8" s="61" customFormat="1" ht="18.75">
      <c r="A2" s="18">
        <v>1</v>
      </c>
      <c r="B2" s="18">
        <v>2</v>
      </c>
      <c r="C2" s="18">
        <v>3</v>
      </c>
      <c r="D2" s="18">
        <v>4</v>
      </c>
      <c r="E2" s="18">
        <v>5</v>
      </c>
      <c r="F2" s="18">
        <v>6</v>
      </c>
      <c r="G2" s="18">
        <v>7</v>
      </c>
      <c r="H2" s="18">
        <v>8</v>
      </c>
    </row>
    <row r="3" spans="1:8" ht="18.75">
      <c r="A3" s="18">
        <v>1</v>
      </c>
      <c r="B3" s="24" t="s">
        <v>448</v>
      </c>
      <c r="C3" s="27">
        <v>18459218</v>
      </c>
      <c r="D3" s="27">
        <v>18945463</v>
      </c>
      <c r="E3" s="27">
        <v>4843864</v>
      </c>
      <c r="F3" s="27">
        <v>9538127</v>
      </c>
      <c r="G3" s="27">
        <v>14149363</v>
      </c>
      <c r="H3" s="27">
        <v>19509595</v>
      </c>
    </row>
    <row r="4" spans="1:8" ht="18.75">
      <c r="A4" s="18">
        <v>2</v>
      </c>
      <c r="B4" s="24" t="s">
        <v>449</v>
      </c>
      <c r="C4" s="27">
        <v>16859154</v>
      </c>
      <c r="D4" s="27">
        <v>16933570</v>
      </c>
      <c r="E4" s="27">
        <v>4316847</v>
      </c>
      <c r="F4" s="27">
        <v>8666590</v>
      </c>
      <c r="G4" s="27">
        <v>12953739</v>
      </c>
      <c r="H4" s="27">
        <v>17588500</v>
      </c>
    </row>
    <row r="5" spans="1:8" ht="18.75">
      <c r="A5" s="25">
        <v>3</v>
      </c>
      <c r="B5" s="26" t="s">
        <v>450</v>
      </c>
      <c r="C5" s="28">
        <f>C3-C4</f>
        <v>1600064</v>
      </c>
      <c r="D5" s="28">
        <f t="shared" ref="D5:H5" si="0">D3-D4</f>
        <v>2011893</v>
      </c>
      <c r="E5" s="28">
        <f t="shared" si="0"/>
        <v>527017</v>
      </c>
      <c r="F5" s="28">
        <f t="shared" si="0"/>
        <v>871537</v>
      </c>
      <c r="G5" s="28">
        <f t="shared" si="0"/>
        <v>1195624</v>
      </c>
      <c r="H5" s="28">
        <f t="shared" si="0"/>
        <v>1921095</v>
      </c>
    </row>
    <row r="6" spans="1:8" ht="18.75">
      <c r="A6" s="18">
        <v>4</v>
      </c>
      <c r="B6" s="24" t="s">
        <v>451</v>
      </c>
      <c r="C6" s="27"/>
      <c r="D6" s="27">
        <v>0</v>
      </c>
      <c r="E6" s="27"/>
      <c r="F6" s="27"/>
      <c r="G6" s="27"/>
      <c r="H6" s="27"/>
    </row>
    <row r="7" spans="1:8" ht="18.75">
      <c r="A7" s="18">
        <v>5</v>
      </c>
      <c r="B7" s="24" t="s">
        <v>452</v>
      </c>
      <c r="C7" s="27">
        <v>965714</v>
      </c>
      <c r="D7" s="27">
        <v>969976</v>
      </c>
      <c r="E7" s="27">
        <v>247274</v>
      </c>
      <c r="F7" s="27">
        <v>496432</v>
      </c>
      <c r="G7" s="27">
        <v>728328</v>
      </c>
      <c r="H7" s="27">
        <v>1007492</v>
      </c>
    </row>
    <row r="8" spans="1:8" ht="18.75">
      <c r="A8" s="18">
        <v>6</v>
      </c>
      <c r="B8" s="24" t="s">
        <v>453</v>
      </c>
      <c r="C8" s="27">
        <v>215008</v>
      </c>
      <c r="D8" s="27">
        <v>269720</v>
      </c>
      <c r="E8" s="27">
        <v>51102</v>
      </c>
      <c r="F8" s="27">
        <v>101308</v>
      </c>
      <c r="G8" s="27">
        <v>149065</v>
      </c>
      <c r="H8" s="27">
        <v>272417</v>
      </c>
    </row>
    <row r="9" spans="1:8" ht="18.75">
      <c r="A9" s="18">
        <v>7</v>
      </c>
      <c r="B9" s="24" t="s">
        <v>454</v>
      </c>
      <c r="C9" s="27">
        <v>710866</v>
      </c>
      <c r="D9" s="27">
        <v>714003</v>
      </c>
      <c r="E9" s="27">
        <v>182019</v>
      </c>
      <c r="F9" s="27">
        <v>365426</v>
      </c>
      <c r="G9" s="27">
        <v>536125</v>
      </c>
      <c r="H9" s="27">
        <v>741618</v>
      </c>
    </row>
    <row r="10" spans="1:8" ht="37.5" hidden="1">
      <c r="A10" s="18">
        <v>8</v>
      </c>
      <c r="B10" s="24" t="s">
        <v>455</v>
      </c>
      <c r="C10" s="27"/>
      <c r="D10" s="27"/>
      <c r="E10" s="27"/>
      <c r="F10" s="27"/>
      <c r="G10" s="27"/>
      <c r="H10" s="27"/>
    </row>
    <row r="11" spans="1:8" ht="37.5" hidden="1">
      <c r="A11" s="18">
        <v>9</v>
      </c>
      <c r="B11" s="24" t="s">
        <v>456</v>
      </c>
      <c r="C11" s="27"/>
      <c r="D11" s="27"/>
      <c r="E11" s="27"/>
      <c r="F11" s="27"/>
      <c r="G11" s="27"/>
      <c r="H11" s="27"/>
    </row>
    <row r="12" spans="1:8" ht="18.75">
      <c r="A12" s="18">
        <v>10</v>
      </c>
      <c r="B12" s="24" t="s">
        <v>457</v>
      </c>
      <c r="C12" s="27">
        <v>481</v>
      </c>
      <c r="D12" s="27">
        <v>481</v>
      </c>
      <c r="E12" s="27">
        <v>77</v>
      </c>
      <c r="F12" s="27">
        <v>154</v>
      </c>
      <c r="G12" s="27">
        <v>231</v>
      </c>
      <c r="H12" s="27">
        <v>481</v>
      </c>
    </row>
    <row r="13" spans="1:8" ht="37.5" hidden="1">
      <c r="A13" s="18">
        <v>11</v>
      </c>
      <c r="B13" s="24" t="s">
        <v>458</v>
      </c>
      <c r="C13" s="27"/>
      <c r="D13" s="27"/>
      <c r="E13" s="27"/>
      <c r="F13" s="27"/>
      <c r="G13" s="27"/>
      <c r="H13" s="27"/>
    </row>
    <row r="14" spans="1:8" ht="18.75">
      <c r="A14" s="18">
        <v>12</v>
      </c>
      <c r="B14" s="24" t="s">
        <v>459</v>
      </c>
      <c r="C14" s="27">
        <v>42</v>
      </c>
      <c r="D14" s="27">
        <v>42</v>
      </c>
      <c r="E14" s="27"/>
      <c r="F14" s="27"/>
      <c r="G14" s="27">
        <v>42</v>
      </c>
      <c r="H14" s="27">
        <v>42</v>
      </c>
    </row>
    <row r="15" spans="1:8" ht="37.5">
      <c r="A15" s="25">
        <v>13</v>
      </c>
      <c r="B15" s="26" t="s">
        <v>460</v>
      </c>
      <c r="C15" s="28">
        <f>C5-C6-C7+C8-C9+C10+C11+C12-C13-C14</f>
        <v>138931</v>
      </c>
      <c r="D15" s="28">
        <f t="shared" ref="D15:H15" si="1">D5-D6-D7+D8-D9+D10+D11+D12-D13-D14</f>
        <v>598073</v>
      </c>
      <c r="E15" s="28">
        <f t="shared" si="1"/>
        <v>148903</v>
      </c>
      <c r="F15" s="28">
        <f t="shared" si="1"/>
        <v>111141</v>
      </c>
      <c r="G15" s="28">
        <f t="shared" si="1"/>
        <v>80425</v>
      </c>
      <c r="H15" s="28">
        <f t="shared" si="1"/>
        <v>444841</v>
      </c>
    </row>
    <row r="16" spans="1:8" ht="18.75" hidden="1">
      <c r="A16" s="18">
        <v>14</v>
      </c>
      <c r="B16" s="24" t="s">
        <v>461</v>
      </c>
      <c r="C16" s="27"/>
      <c r="D16" s="27"/>
      <c r="E16" s="27"/>
      <c r="F16" s="27"/>
      <c r="G16" s="27"/>
      <c r="H16" s="27"/>
    </row>
    <row r="17" spans="1:8" ht="18.75" hidden="1">
      <c r="A17" s="18">
        <v>15</v>
      </c>
      <c r="B17" s="24" t="s">
        <v>462</v>
      </c>
      <c r="C17" s="27"/>
      <c r="D17" s="27"/>
      <c r="E17" s="27"/>
      <c r="F17" s="27"/>
      <c r="G17" s="27"/>
      <c r="H17" s="27"/>
    </row>
    <row r="18" spans="1:8" ht="18.75" hidden="1">
      <c r="A18" s="18">
        <v>16</v>
      </c>
      <c r="B18" s="24" t="s">
        <v>463</v>
      </c>
      <c r="C18" s="27"/>
      <c r="D18" s="27"/>
      <c r="E18" s="27"/>
      <c r="F18" s="27"/>
      <c r="G18" s="27"/>
      <c r="H18" s="27"/>
    </row>
    <row r="19" spans="1:8" ht="18.75" hidden="1">
      <c r="A19" s="18">
        <v>17</v>
      </c>
      <c r="B19" s="24" t="s">
        <v>464</v>
      </c>
      <c r="C19" s="27"/>
      <c r="D19" s="27"/>
      <c r="E19" s="27"/>
      <c r="F19" s="27"/>
      <c r="G19" s="27"/>
      <c r="H19" s="27"/>
    </row>
    <row r="20" spans="1:8" ht="18.75" hidden="1">
      <c r="A20" s="18">
        <v>18</v>
      </c>
      <c r="B20" s="24" t="s">
        <v>465</v>
      </c>
      <c r="C20" s="27"/>
      <c r="D20" s="27"/>
      <c r="E20" s="27"/>
      <c r="F20" s="27"/>
      <c r="G20" s="27"/>
      <c r="H20" s="27"/>
    </row>
    <row r="21" spans="1:8" ht="18.75" hidden="1">
      <c r="A21" s="18">
        <v>19</v>
      </c>
      <c r="B21" s="24" t="s">
        <v>466</v>
      </c>
      <c r="C21" s="27"/>
      <c r="D21" s="27"/>
      <c r="E21" s="27"/>
      <c r="F21" s="27"/>
      <c r="G21" s="27"/>
      <c r="H21" s="27"/>
    </row>
    <row r="22" spans="1:8" ht="18.75">
      <c r="A22" s="25">
        <v>20</v>
      </c>
      <c r="B22" s="26" t="s">
        <v>467</v>
      </c>
      <c r="C22" s="28">
        <f>C15+C16-C17+C18+C19+C20-C21</f>
        <v>138931</v>
      </c>
      <c r="D22" s="28">
        <f t="shared" ref="D22:H22" si="2">D15+D16-D17+D18+D19+D20-D21</f>
        <v>598073</v>
      </c>
      <c r="E22" s="28">
        <f t="shared" si="2"/>
        <v>148903</v>
      </c>
      <c r="F22" s="28">
        <f t="shared" si="2"/>
        <v>111141</v>
      </c>
      <c r="G22" s="28">
        <f t="shared" si="2"/>
        <v>80425</v>
      </c>
      <c r="H22" s="28">
        <f t="shared" si="2"/>
        <v>444841</v>
      </c>
    </row>
    <row r="23" spans="1:8">
      <c r="A23" s="57"/>
      <c r="B23" s="57"/>
      <c r="C23" s="20"/>
      <c r="D23" s="20"/>
      <c r="E23" s="20"/>
      <c r="F23" s="20"/>
      <c r="G23" s="20"/>
      <c r="H23" s="20"/>
    </row>
    <row r="24" spans="1:8" ht="18.75">
      <c r="A24" s="397" t="s">
        <v>602</v>
      </c>
      <c r="B24" s="397"/>
      <c r="C24" s="397"/>
      <c r="D24" s="397"/>
      <c r="E24" s="397"/>
      <c r="F24" s="397"/>
      <c r="G24" s="397"/>
      <c r="H24" s="397"/>
    </row>
    <row r="25" spans="1:8">
      <c r="A25" s="57"/>
      <c r="B25" s="57"/>
      <c r="C25" s="19"/>
      <c r="D25" s="19"/>
      <c r="E25" s="19"/>
      <c r="F25" s="19"/>
      <c r="G25" s="19"/>
      <c r="H25" s="19"/>
    </row>
    <row r="26" spans="1:8">
      <c r="A26" s="57"/>
      <c r="B26" s="57"/>
      <c r="C26" s="19"/>
      <c r="D26" s="19"/>
      <c r="E26" s="19"/>
      <c r="F26" s="19"/>
      <c r="G26" s="19"/>
      <c r="H26" s="19"/>
    </row>
    <row r="27" spans="1:8">
      <c r="A27" s="57"/>
      <c r="B27" s="57"/>
      <c r="C27" s="19"/>
      <c r="D27" s="19"/>
      <c r="E27" s="19"/>
      <c r="F27" s="19"/>
      <c r="G27" s="19"/>
      <c r="H27" s="19"/>
    </row>
    <row r="28" spans="1:8" ht="18.75">
      <c r="A28" s="58"/>
      <c r="B28" s="59"/>
      <c r="C28" s="21"/>
      <c r="D28" s="21"/>
      <c r="E28" s="21"/>
      <c r="F28" s="21"/>
      <c r="G28" s="21"/>
      <c r="H28" s="21"/>
    </row>
    <row r="29" spans="1:8" ht="18.75">
      <c r="A29" s="60"/>
      <c r="B29" s="22"/>
      <c r="C29" s="23"/>
      <c r="D29" s="23"/>
      <c r="E29" s="23"/>
      <c r="F29" s="23"/>
      <c r="G29" s="23"/>
      <c r="H29" s="23"/>
    </row>
    <row r="30" spans="1:8" ht="18.75">
      <c r="A30" s="60"/>
      <c r="B30" s="22"/>
      <c r="C30" s="23"/>
      <c r="D30" s="23"/>
      <c r="E30" s="23"/>
      <c r="F30" s="23"/>
      <c r="G30" s="23"/>
      <c r="H30" s="23"/>
    </row>
    <row r="31" spans="1:8" ht="18.75">
      <c r="A31" s="60"/>
      <c r="B31" s="22"/>
      <c r="C31" s="23"/>
      <c r="D31" s="23"/>
      <c r="E31" s="23"/>
      <c r="F31" s="23"/>
      <c r="G31" s="23"/>
      <c r="H31" s="23"/>
    </row>
    <row r="32" spans="1:8" ht="18.75">
      <c r="A32" s="60"/>
      <c r="B32" s="22"/>
      <c r="C32" s="23"/>
      <c r="D32" s="23"/>
      <c r="E32" s="23"/>
      <c r="F32" s="23"/>
      <c r="G32" s="23"/>
      <c r="H32" s="23"/>
    </row>
    <row r="33" spans="1:8" ht="18.75">
      <c r="A33" s="60"/>
      <c r="B33" s="22"/>
      <c r="C33" s="23"/>
      <c r="D33" s="23"/>
      <c r="E33" s="23"/>
      <c r="F33" s="23"/>
      <c r="G33" s="23"/>
      <c r="H33" s="23"/>
    </row>
  </sheetData>
  <mergeCells count="1">
    <mergeCell ref="A24:H24"/>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8"/>
  <sheetViews>
    <sheetView workbookViewId="0">
      <selection activeCell="N20" sqref="N20"/>
    </sheetView>
  </sheetViews>
  <sheetFormatPr defaultRowHeight="18.75"/>
  <cols>
    <col min="1" max="1" width="8.42578125" style="62" bestFit="1" customWidth="1"/>
    <col min="2" max="2" width="45.28515625" style="62" bestFit="1" customWidth="1"/>
    <col min="3" max="3" width="16.85546875" style="63" bestFit="1" customWidth="1"/>
    <col min="4" max="4" width="18.28515625" style="63" bestFit="1" customWidth="1"/>
    <col min="5" max="7" width="15.5703125" style="63" bestFit="1" customWidth="1"/>
    <col min="8" max="8" width="16.85546875" style="63" bestFit="1" customWidth="1"/>
    <col min="9" max="16384" width="9.140625" style="63"/>
  </cols>
  <sheetData>
    <row r="1" spans="1:8" s="62" customFormat="1" ht="37.5">
      <c r="A1" s="40" t="s">
        <v>0</v>
      </c>
      <c r="B1" s="39" t="s">
        <v>362</v>
      </c>
      <c r="C1" s="1" t="s">
        <v>474</v>
      </c>
      <c r="D1" s="1" t="s">
        <v>469</v>
      </c>
      <c r="E1" s="1" t="s">
        <v>470</v>
      </c>
      <c r="F1" s="1" t="s">
        <v>471</v>
      </c>
      <c r="G1" s="1" t="s">
        <v>472</v>
      </c>
      <c r="H1" s="1" t="s">
        <v>473</v>
      </c>
    </row>
    <row r="2" spans="1:8" s="62" customFormat="1">
      <c r="A2" s="18">
        <v>1</v>
      </c>
      <c r="B2" s="18">
        <v>2</v>
      </c>
      <c r="C2" s="18">
        <v>3</v>
      </c>
      <c r="D2" s="18">
        <v>4</v>
      </c>
      <c r="E2" s="18">
        <v>5</v>
      </c>
      <c r="F2" s="18">
        <v>6</v>
      </c>
      <c r="G2" s="18">
        <v>7</v>
      </c>
      <c r="H2" s="18">
        <v>8</v>
      </c>
    </row>
    <row r="3" spans="1:8" s="62" customFormat="1">
      <c r="A3" s="8">
        <v>45000</v>
      </c>
      <c r="B3" s="38" t="s">
        <v>363</v>
      </c>
      <c r="C3" s="30">
        <f>C4+C5+C6</f>
        <v>5772441</v>
      </c>
      <c r="D3" s="30">
        <f t="shared" ref="D3:H3" si="0">D4+D5+D6</f>
        <v>6231583</v>
      </c>
      <c r="E3" s="30">
        <f t="shared" si="0"/>
        <v>6380486</v>
      </c>
      <c r="F3" s="30">
        <f t="shared" si="0"/>
        <v>6342724</v>
      </c>
      <c r="G3" s="30">
        <f t="shared" si="0"/>
        <v>6312008</v>
      </c>
      <c r="H3" s="30">
        <f t="shared" si="0"/>
        <v>6617584</v>
      </c>
    </row>
    <row r="4" spans="1:8">
      <c r="A4" s="9">
        <v>45100</v>
      </c>
      <c r="B4" s="31" t="s">
        <v>364</v>
      </c>
      <c r="C4" s="64">
        <v>3947044</v>
      </c>
      <c r="D4" s="64">
        <v>3947044</v>
      </c>
      <c r="E4" s="64">
        <v>3947044</v>
      </c>
      <c r="F4" s="64">
        <v>3947044</v>
      </c>
      <c r="G4" s="64">
        <v>3947044</v>
      </c>
      <c r="H4" s="64">
        <v>3947044</v>
      </c>
    </row>
    <row r="5" spans="1:8">
      <c r="A5" s="9">
        <v>45200</v>
      </c>
      <c r="B5" s="31" t="s">
        <v>365</v>
      </c>
      <c r="C5" s="64">
        <v>2317378</v>
      </c>
      <c r="D5" s="64">
        <v>2317378</v>
      </c>
      <c r="E5" s="64">
        <v>2317378</v>
      </c>
      <c r="F5" s="64">
        <v>2317378</v>
      </c>
      <c r="G5" s="64">
        <v>2317378</v>
      </c>
      <c r="H5" s="64">
        <v>2258538</v>
      </c>
    </row>
    <row r="6" spans="1:8" s="62" customFormat="1">
      <c r="A6" s="7">
        <v>45300</v>
      </c>
      <c r="B6" s="33" t="s">
        <v>366</v>
      </c>
      <c r="C6" s="34">
        <f>C7+C8</f>
        <v>-491981</v>
      </c>
      <c r="D6" s="34">
        <f t="shared" ref="D6:H6" si="1">D7+D8</f>
        <v>-32839</v>
      </c>
      <c r="E6" s="34">
        <f t="shared" si="1"/>
        <v>116064</v>
      </c>
      <c r="F6" s="34">
        <f t="shared" si="1"/>
        <v>78302</v>
      </c>
      <c r="G6" s="34">
        <f t="shared" si="1"/>
        <v>47586</v>
      </c>
      <c r="H6" s="34">
        <f t="shared" si="1"/>
        <v>412002</v>
      </c>
    </row>
    <row r="7" spans="1:8">
      <c r="A7" s="9">
        <v>45310</v>
      </c>
      <c r="B7" s="31" t="s">
        <v>367</v>
      </c>
      <c r="C7" s="64">
        <v>-630912</v>
      </c>
      <c r="D7" s="64">
        <v>-630912</v>
      </c>
      <c r="E7" s="64">
        <v>-32839</v>
      </c>
      <c r="F7" s="64">
        <v>-32839</v>
      </c>
      <c r="G7" s="64">
        <v>-32839</v>
      </c>
      <c r="H7" s="64">
        <v>-32839</v>
      </c>
    </row>
    <row r="8" spans="1:8">
      <c r="A8" s="9">
        <v>45320</v>
      </c>
      <c r="B8" s="31" t="s">
        <v>368</v>
      </c>
      <c r="C8" s="64">
        <v>138931</v>
      </c>
      <c r="D8" s="64">
        <v>598073</v>
      </c>
      <c r="E8" s="64">
        <v>148903</v>
      </c>
      <c r="F8" s="64">
        <v>111141</v>
      </c>
      <c r="G8" s="64">
        <v>80425</v>
      </c>
      <c r="H8" s="64">
        <v>444841</v>
      </c>
    </row>
    <row r="9" spans="1:8">
      <c r="A9" s="8">
        <v>46000</v>
      </c>
      <c r="B9" s="29" t="s">
        <v>369</v>
      </c>
      <c r="C9" s="35">
        <v>58230</v>
      </c>
      <c r="D9" s="35">
        <v>58230</v>
      </c>
      <c r="E9" s="35">
        <v>58230</v>
      </c>
      <c r="F9" s="35">
        <v>58230</v>
      </c>
      <c r="G9" s="35">
        <v>58230</v>
      </c>
      <c r="H9" s="35">
        <v>58230</v>
      </c>
    </row>
    <row r="10" spans="1:8" s="62" customFormat="1">
      <c r="A10" s="8">
        <v>47000</v>
      </c>
      <c r="B10" s="29" t="s">
        <v>370</v>
      </c>
      <c r="C10" s="30">
        <f>C11+C17</f>
        <v>6223742</v>
      </c>
      <c r="D10" s="30">
        <f>D11+D17</f>
        <v>7758242</v>
      </c>
      <c r="E10" s="30">
        <f t="shared" ref="E10:H10" si="2">E11+E17</f>
        <v>8176756</v>
      </c>
      <c r="F10" s="30">
        <f t="shared" si="2"/>
        <v>8142932</v>
      </c>
      <c r="G10" s="30">
        <f t="shared" si="2"/>
        <v>8106531</v>
      </c>
      <c r="H10" s="30">
        <f t="shared" si="2"/>
        <v>8491327</v>
      </c>
    </row>
    <row r="11" spans="1:8" s="62" customFormat="1">
      <c r="A11" s="8">
        <v>47100</v>
      </c>
      <c r="B11" s="29" t="s">
        <v>371</v>
      </c>
      <c r="C11" s="30">
        <f>SUM(C12:C16)</f>
        <v>4324613</v>
      </c>
      <c r="D11" s="30">
        <f t="shared" ref="D11:H11" si="3">SUM(D12:D16)</f>
        <v>5859113</v>
      </c>
      <c r="E11" s="30">
        <f t="shared" si="3"/>
        <v>5859113</v>
      </c>
      <c r="F11" s="30">
        <f t="shared" si="3"/>
        <v>5859113</v>
      </c>
      <c r="G11" s="30">
        <f t="shared" si="3"/>
        <v>5859113</v>
      </c>
      <c r="H11" s="30">
        <f t="shared" si="3"/>
        <v>6106998</v>
      </c>
    </row>
    <row r="12" spans="1:8">
      <c r="A12" s="9">
        <v>47110</v>
      </c>
      <c r="B12" s="31" t="s">
        <v>372</v>
      </c>
      <c r="C12" s="32"/>
      <c r="D12" s="32"/>
      <c r="E12" s="32"/>
      <c r="F12" s="32"/>
      <c r="G12" s="32"/>
      <c r="H12" s="32"/>
    </row>
    <row r="13" spans="1:8" ht="37.5">
      <c r="A13" s="9">
        <v>47120</v>
      </c>
      <c r="B13" s="31" t="s">
        <v>373</v>
      </c>
      <c r="C13" s="32"/>
      <c r="D13" s="32"/>
      <c r="E13" s="32"/>
      <c r="F13" s="32"/>
      <c r="G13" s="32"/>
      <c r="H13" s="32"/>
    </row>
    <row r="14" spans="1:8">
      <c r="A14" s="9">
        <v>47130</v>
      </c>
      <c r="B14" s="31" t="s">
        <v>374</v>
      </c>
      <c r="C14" s="32"/>
      <c r="D14" s="32"/>
      <c r="E14" s="32"/>
      <c r="F14" s="32"/>
      <c r="G14" s="32"/>
      <c r="H14" s="32"/>
    </row>
    <row r="15" spans="1:8">
      <c r="A15" s="9">
        <v>47140</v>
      </c>
      <c r="B15" s="31" t="s">
        <v>375</v>
      </c>
      <c r="C15" s="32">
        <v>4324613</v>
      </c>
      <c r="D15" s="32">
        <v>5859113</v>
      </c>
      <c r="E15" s="32">
        <v>5859113</v>
      </c>
      <c r="F15" s="32">
        <v>5859113</v>
      </c>
      <c r="G15" s="32">
        <v>5859113</v>
      </c>
      <c r="H15" s="32">
        <v>6106998</v>
      </c>
    </row>
    <row r="16" spans="1:8">
      <c r="A16" s="9">
        <v>47150</v>
      </c>
      <c r="B16" s="31" t="s">
        <v>376</v>
      </c>
      <c r="C16" s="32"/>
      <c r="D16" s="32"/>
      <c r="E16" s="32"/>
      <c r="F16" s="32"/>
      <c r="G16" s="32"/>
      <c r="H16" s="32"/>
    </row>
    <row r="17" spans="1:8" s="62" customFormat="1">
      <c r="A17" s="8">
        <v>47200</v>
      </c>
      <c r="B17" s="29" t="s">
        <v>377</v>
      </c>
      <c r="C17" s="30">
        <f>SUM(C18:C25)</f>
        <v>1899129</v>
      </c>
      <c r="D17" s="30">
        <f t="shared" ref="D17:H17" si="4">SUM(D18:D25)</f>
        <v>1899129</v>
      </c>
      <c r="E17" s="30">
        <f t="shared" si="4"/>
        <v>2317643</v>
      </c>
      <c r="F17" s="30">
        <f t="shared" si="4"/>
        <v>2283819</v>
      </c>
      <c r="G17" s="30">
        <f t="shared" si="4"/>
        <v>2247418</v>
      </c>
      <c r="H17" s="30">
        <f t="shared" si="4"/>
        <v>2384329</v>
      </c>
    </row>
    <row r="18" spans="1:8">
      <c r="A18" s="9">
        <v>47210</v>
      </c>
      <c r="B18" s="31" t="s">
        <v>372</v>
      </c>
      <c r="C18" s="64"/>
      <c r="D18" s="64"/>
      <c r="E18" s="64"/>
      <c r="F18" s="64"/>
      <c r="G18" s="64"/>
      <c r="H18" s="64"/>
    </row>
    <row r="19" spans="1:8">
      <c r="A19" s="9">
        <v>47220</v>
      </c>
      <c r="B19" s="31" t="s">
        <v>374</v>
      </c>
      <c r="C19" s="64"/>
      <c r="D19" s="64"/>
      <c r="E19" s="64"/>
      <c r="F19" s="64"/>
      <c r="G19" s="64"/>
      <c r="H19" s="64"/>
    </row>
    <row r="20" spans="1:8">
      <c r="A20" s="9">
        <v>47230</v>
      </c>
      <c r="B20" s="31" t="s">
        <v>378</v>
      </c>
      <c r="C20" s="64">
        <v>9401</v>
      </c>
      <c r="D20" s="64">
        <v>9401</v>
      </c>
      <c r="E20" s="64">
        <v>9400</v>
      </c>
      <c r="F20" s="64">
        <v>9400</v>
      </c>
      <c r="G20" s="64">
        <v>9400</v>
      </c>
      <c r="H20" s="64">
        <v>9400</v>
      </c>
    </row>
    <row r="21" spans="1:8">
      <c r="A21" s="9">
        <v>47240</v>
      </c>
      <c r="B21" s="31" t="s">
        <v>379</v>
      </c>
      <c r="C21" s="64">
        <v>124677</v>
      </c>
      <c r="D21" s="64">
        <v>124677</v>
      </c>
      <c r="E21" s="64">
        <v>603664</v>
      </c>
      <c r="F21" s="64">
        <v>611490</v>
      </c>
      <c r="G21" s="64">
        <v>616739</v>
      </c>
      <c r="H21" s="64">
        <v>627370</v>
      </c>
    </row>
    <row r="22" spans="1:8">
      <c r="A22" s="9">
        <v>47250</v>
      </c>
      <c r="B22" s="31" t="s">
        <v>380</v>
      </c>
      <c r="C22" s="64">
        <v>404977</v>
      </c>
      <c r="D22" s="64">
        <v>404977</v>
      </c>
      <c r="E22" s="64">
        <v>410000</v>
      </c>
      <c r="F22" s="64">
        <v>410000</v>
      </c>
      <c r="G22" s="64">
        <v>410000</v>
      </c>
      <c r="H22" s="64">
        <v>410000</v>
      </c>
    </row>
    <row r="23" spans="1:8">
      <c r="A23" s="9">
        <v>47260</v>
      </c>
      <c r="B23" s="31" t="s">
        <v>381</v>
      </c>
      <c r="C23" s="64">
        <v>466913</v>
      </c>
      <c r="D23" s="64">
        <v>466913</v>
      </c>
      <c r="E23" s="64">
        <v>470000</v>
      </c>
      <c r="F23" s="64">
        <v>470000</v>
      </c>
      <c r="G23" s="64">
        <v>470000</v>
      </c>
      <c r="H23" s="64">
        <v>470000</v>
      </c>
    </row>
    <row r="24" spans="1:8">
      <c r="A24" s="9">
        <v>47280</v>
      </c>
      <c r="B24" s="31" t="s">
        <v>375</v>
      </c>
      <c r="C24" s="64">
        <v>166602</v>
      </c>
      <c r="D24" s="64">
        <v>166602</v>
      </c>
      <c r="E24" s="64">
        <v>124952</v>
      </c>
      <c r="F24" s="64">
        <v>83302</v>
      </c>
      <c r="G24" s="64">
        <v>41652</v>
      </c>
      <c r="H24" s="64">
        <v>167000</v>
      </c>
    </row>
    <row r="25" spans="1:8">
      <c r="A25" s="9">
        <v>47290</v>
      </c>
      <c r="B25" s="31" t="s">
        <v>382</v>
      </c>
      <c r="C25" s="64">
        <v>726559</v>
      </c>
      <c r="D25" s="64">
        <v>726559</v>
      </c>
      <c r="E25" s="64">
        <v>699627</v>
      </c>
      <c r="F25" s="64">
        <v>699627</v>
      </c>
      <c r="G25" s="64">
        <v>699627</v>
      </c>
      <c r="H25" s="64">
        <v>700559</v>
      </c>
    </row>
    <row r="26" spans="1:8" s="62" customFormat="1" ht="37.5">
      <c r="A26" s="8">
        <v>48000</v>
      </c>
      <c r="B26" s="29" t="s">
        <v>383</v>
      </c>
      <c r="C26" s="30">
        <f>C10+C9+C3</f>
        <v>12054413</v>
      </c>
      <c r="D26" s="30">
        <f t="shared" ref="D26:H26" si="5">D10+D9+D3</f>
        <v>14048055</v>
      </c>
      <c r="E26" s="30">
        <f t="shared" si="5"/>
        <v>14615472</v>
      </c>
      <c r="F26" s="30">
        <f t="shared" si="5"/>
        <v>14543886</v>
      </c>
      <c r="G26" s="30">
        <f t="shared" si="5"/>
        <v>14476769</v>
      </c>
      <c r="H26" s="30">
        <f t="shared" si="5"/>
        <v>15167141</v>
      </c>
    </row>
    <row r="27" spans="1:8">
      <c r="A27" s="398"/>
      <c r="B27" s="399"/>
      <c r="C27" s="399"/>
      <c r="D27" s="399"/>
      <c r="E27" s="399"/>
      <c r="F27" s="399"/>
      <c r="G27" s="399"/>
      <c r="H27" s="399"/>
    </row>
    <row r="28" spans="1:8" s="62" customFormat="1">
      <c r="A28" s="8">
        <v>49000</v>
      </c>
      <c r="B28" s="29" t="s">
        <v>384</v>
      </c>
      <c r="C28" s="30">
        <f>C29+C32+C39</f>
        <v>10425701</v>
      </c>
      <c r="D28" s="30">
        <f t="shared" ref="D28:H28" si="6">D29+D32+D39</f>
        <v>10425701</v>
      </c>
      <c r="E28" s="30">
        <f t="shared" si="6"/>
        <v>10721530</v>
      </c>
      <c r="F28" s="30">
        <f t="shared" si="6"/>
        <v>10708581</v>
      </c>
      <c r="G28" s="30">
        <f t="shared" si="6"/>
        <v>10698432</v>
      </c>
      <c r="H28" s="30">
        <f t="shared" si="6"/>
        <v>10887654</v>
      </c>
    </row>
    <row r="29" spans="1:8" s="62" customFormat="1">
      <c r="A29" s="8">
        <v>49100</v>
      </c>
      <c r="B29" s="29" t="s">
        <v>385</v>
      </c>
      <c r="C29" s="30">
        <f>C30+C31</f>
        <v>52533</v>
      </c>
      <c r="D29" s="30">
        <f t="shared" ref="D29:H29" si="7">D30+D31</f>
        <v>52533</v>
      </c>
      <c r="E29" s="30">
        <f t="shared" si="7"/>
        <v>46334</v>
      </c>
      <c r="F29" s="30">
        <f t="shared" si="7"/>
        <v>40135</v>
      </c>
      <c r="G29" s="30">
        <f t="shared" si="7"/>
        <v>33936</v>
      </c>
      <c r="H29" s="30">
        <f t="shared" si="7"/>
        <v>27737</v>
      </c>
    </row>
    <row r="30" spans="1:8" hidden="1">
      <c r="A30" s="9">
        <v>49110</v>
      </c>
      <c r="B30" s="31" t="s">
        <v>386</v>
      </c>
      <c r="C30" s="32">
        <v>52533</v>
      </c>
      <c r="D30" s="32">
        <v>52533</v>
      </c>
      <c r="E30" s="32">
        <v>46334</v>
      </c>
      <c r="F30" s="32">
        <v>40135</v>
      </c>
      <c r="G30" s="32">
        <v>33936</v>
      </c>
      <c r="H30" s="32">
        <v>27737</v>
      </c>
    </row>
    <row r="31" spans="1:8" ht="37.5" hidden="1">
      <c r="A31" s="9">
        <v>49120</v>
      </c>
      <c r="B31" s="31" t="s">
        <v>387</v>
      </c>
      <c r="C31" s="32"/>
      <c r="D31" s="32"/>
      <c r="E31" s="32"/>
      <c r="F31" s="32"/>
      <c r="G31" s="32"/>
      <c r="H31" s="32"/>
    </row>
    <row r="32" spans="1:8" s="62" customFormat="1">
      <c r="A32" s="8">
        <v>49200</v>
      </c>
      <c r="B32" s="29" t="s">
        <v>388</v>
      </c>
      <c r="C32" s="30">
        <f>SUM(C33:C38)</f>
        <v>10373168</v>
      </c>
      <c r="D32" s="30">
        <f t="shared" ref="D32:H32" si="8">SUM(D33:D38)</f>
        <v>10373168</v>
      </c>
      <c r="E32" s="30">
        <f t="shared" si="8"/>
        <v>10675196</v>
      </c>
      <c r="F32" s="30">
        <f t="shared" si="8"/>
        <v>10668446</v>
      </c>
      <c r="G32" s="30">
        <f t="shared" si="8"/>
        <v>10664496</v>
      </c>
      <c r="H32" s="30">
        <f t="shared" si="8"/>
        <v>10859917</v>
      </c>
    </row>
    <row r="33" spans="1:8" ht="37.5">
      <c r="A33" s="9">
        <v>49210</v>
      </c>
      <c r="B33" s="31" t="s">
        <v>389</v>
      </c>
      <c r="C33" s="32">
        <v>7691822</v>
      </c>
      <c r="D33" s="32">
        <v>7691822</v>
      </c>
      <c r="E33" s="32">
        <v>7672800</v>
      </c>
      <c r="F33" s="32">
        <v>7670000</v>
      </c>
      <c r="G33" s="32">
        <v>7670000</v>
      </c>
      <c r="H33" s="32">
        <v>7777000</v>
      </c>
    </row>
    <row r="34" spans="1:8">
      <c r="A34" s="9">
        <v>49220</v>
      </c>
      <c r="B34" s="31" t="s">
        <v>390</v>
      </c>
      <c r="C34" s="32">
        <v>1834144</v>
      </c>
      <c r="D34" s="32">
        <v>1834144</v>
      </c>
      <c r="E34" s="32">
        <v>1831394</v>
      </c>
      <c r="F34" s="32">
        <v>1828644</v>
      </c>
      <c r="G34" s="32">
        <v>1825894</v>
      </c>
      <c r="H34" s="32">
        <v>1825000</v>
      </c>
    </row>
    <row r="35" spans="1:8">
      <c r="A35" s="9">
        <v>49230</v>
      </c>
      <c r="B35" s="31" t="s">
        <v>391</v>
      </c>
      <c r="C35" s="32">
        <v>745775</v>
      </c>
      <c r="D35" s="32">
        <v>745775</v>
      </c>
      <c r="E35" s="32">
        <v>744575</v>
      </c>
      <c r="F35" s="32">
        <v>743375</v>
      </c>
      <c r="G35" s="32">
        <v>742175</v>
      </c>
      <c r="H35" s="32">
        <v>741000</v>
      </c>
    </row>
    <row r="36" spans="1:8">
      <c r="A36" s="9">
        <v>49240</v>
      </c>
      <c r="B36" s="31" t="s">
        <v>392</v>
      </c>
      <c r="C36" s="32">
        <v>101427</v>
      </c>
      <c r="D36" s="32">
        <v>101427</v>
      </c>
      <c r="E36" s="32">
        <v>426427</v>
      </c>
      <c r="F36" s="32">
        <v>426427</v>
      </c>
      <c r="G36" s="32">
        <v>426427</v>
      </c>
      <c r="H36" s="32">
        <v>516917</v>
      </c>
    </row>
    <row r="37" spans="1:8" hidden="1">
      <c r="A37" s="9">
        <v>49250</v>
      </c>
      <c r="B37" s="31" t="s">
        <v>393</v>
      </c>
      <c r="C37" s="32"/>
      <c r="D37" s="32"/>
      <c r="E37" s="32"/>
      <c r="F37" s="32"/>
      <c r="G37" s="32"/>
      <c r="H37" s="32"/>
    </row>
    <row r="38" spans="1:8" hidden="1">
      <c r="A38" s="9">
        <v>49260</v>
      </c>
      <c r="B38" s="31" t="s">
        <v>394</v>
      </c>
      <c r="C38" s="32"/>
      <c r="D38" s="32"/>
      <c r="E38" s="32"/>
      <c r="F38" s="32"/>
      <c r="G38" s="32"/>
      <c r="H38" s="32"/>
    </row>
    <row r="39" spans="1:8" s="62" customFormat="1">
      <c r="A39" s="8">
        <v>49300</v>
      </c>
      <c r="B39" s="29" t="s">
        <v>395</v>
      </c>
      <c r="C39" s="30">
        <f>C40+C41</f>
        <v>0</v>
      </c>
      <c r="D39" s="30">
        <f t="shared" ref="D39:H39" si="9">D40+D41</f>
        <v>0</v>
      </c>
      <c r="E39" s="30">
        <f t="shared" si="9"/>
        <v>0</v>
      </c>
      <c r="F39" s="30">
        <f t="shared" si="9"/>
        <v>0</v>
      </c>
      <c r="G39" s="30">
        <f t="shared" si="9"/>
        <v>0</v>
      </c>
      <c r="H39" s="30">
        <f t="shared" si="9"/>
        <v>0</v>
      </c>
    </row>
    <row r="40" spans="1:8" ht="37.5" hidden="1">
      <c r="A40" s="6">
        <v>49310</v>
      </c>
      <c r="B40" s="31" t="s">
        <v>396</v>
      </c>
      <c r="C40" s="32"/>
      <c r="D40" s="32"/>
      <c r="E40" s="32"/>
      <c r="F40" s="32"/>
      <c r="G40" s="32"/>
      <c r="H40" s="32"/>
    </row>
    <row r="41" spans="1:8" ht="37.5" hidden="1">
      <c r="A41" s="6">
        <v>49320</v>
      </c>
      <c r="B41" s="31" t="s">
        <v>397</v>
      </c>
      <c r="C41" s="32"/>
      <c r="D41" s="32"/>
      <c r="E41" s="32"/>
      <c r="F41" s="32"/>
      <c r="G41" s="32"/>
      <c r="H41" s="32"/>
    </row>
    <row r="42" spans="1:8" s="62" customFormat="1">
      <c r="A42" s="8">
        <v>50000</v>
      </c>
      <c r="B42" s="29" t="s">
        <v>398</v>
      </c>
      <c r="C42" s="30">
        <f>C43+C47+C53</f>
        <v>1628712</v>
      </c>
      <c r="D42" s="30">
        <f t="shared" ref="D42:H42" si="10">D43+D47+D53</f>
        <v>3622354</v>
      </c>
      <c r="E42" s="30">
        <f t="shared" si="10"/>
        <v>3893942</v>
      </c>
      <c r="F42" s="30">
        <f t="shared" si="10"/>
        <v>3835305</v>
      </c>
      <c r="G42" s="30">
        <f t="shared" si="10"/>
        <v>3778337</v>
      </c>
      <c r="H42" s="30">
        <f t="shared" si="10"/>
        <v>4279487</v>
      </c>
    </row>
    <row r="43" spans="1:8" s="62" customFormat="1">
      <c r="A43" s="8">
        <v>50100</v>
      </c>
      <c r="B43" s="29" t="s">
        <v>399</v>
      </c>
      <c r="C43" s="30">
        <f>SUM(C44:C46)</f>
        <v>103836</v>
      </c>
      <c r="D43" s="30">
        <f t="shared" ref="D43:H43" si="11">SUM(D44:D46)</f>
        <v>103836</v>
      </c>
      <c r="E43" s="30">
        <f t="shared" si="11"/>
        <v>101490</v>
      </c>
      <c r="F43" s="30">
        <f t="shared" si="11"/>
        <v>102090</v>
      </c>
      <c r="G43" s="30">
        <f t="shared" si="11"/>
        <v>102602</v>
      </c>
      <c r="H43" s="30">
        <f t="shared" si="11"/>
        <v>103602</v>
      </c>
    </row>
    <row r="44" spans="1:8" ht="37.5">
      <c r="A44" s="9">
        <v>50110</v>
      </c>
      <c r="B44" s="31" t="s">
        <v>400</v>
      </c>
      <c r="C44" s="32">
        <v>102234</v>
      </c>
      <c r="D44" s="32">
        <v>102234</v>
      </c>
      <c r="E44" s="32">
        <v>99888</v>
      </c>
      <c r="F44" s="32">
        <v>100488</v>
      </c>
      <c r="G44" s="32">
        <v>101000</v>
      </c>
      <c r="H44" s="32">
        <v>102000</v>
      </c>
    </row>
    <row r="45" spans="1:8">
      <c r="A45" s="9">
        <v>50120</v>
      </c>
      <c r="B45" s="31" t="s">
        <v>401</v>
      </c>
      <c r="C45" s="32"/>
      <c r="D45" s="32"/>
      <c r="E45" s="32"/>
      <c r="F45" s="32"/>
      <c r="G45" s="32"/>
      <c r="H45" s="32"/>
    </row>
    <row r="46" spans="1:8">
      <c r="A46" s="9">
        <v>50130</v>
      </c>
      <c r="B46" s="31" t="s">
        <v>402</v>
      </c>
      <c r="C46" s="32">
        <v>1602</v>
      </c>
      <c r="D46" s="32">
        <v>1602</v>
      </c>
      <c r="E46" s="32">
        <v>1602</v>
      </c>
      <c r="F46" s="32">
        <v>1602</v>
      </c>
      <c r="G46" s="32">
        <v>1602</v>
      </c>
      <c r="H46" s="32">
        <v>1602</v>
      </c>
    </row>
    <row r="47" spans="1:8" s="62" customFormat="1">
      <c r="A47" s="8">
        <v>50200</v>
      </c>
      <c r="B47" s="29" t="s">
        <v>403</v>
      </c>
      <c r="C47" s="30">
        <f>SUM(C48:C52)</f>
        <v>866368</v>
      </c>
      <c r="D47" s="30">
        <f t="shared" ref="D47:H47" si="12">SUM(D48:D52)</f>
        <v>866368</v>
      </c>
      <c r="E47" s="30">
        <f t="shared" si="12"/>
        <v>870849</v>
      </c>
      <c r="F47" s="30">
        <f t="shared" si="12"/>
        <v>990698</v>
      </c>
      <c r="G47" s="30">
        <f t="shared" si="12"/>
        <v>893546</v>
      </c>
      <c r="H47" s="30">
        <f t="shared" si="12"/>
        <v>815395</v>
      </c>
    </row>
    <row r="48" spans="1:8">
      <c r="A48" s="9">
        <v>50210</v>
      </c>
      <c r="B48" s="31" t="s">
        <v>404</v>
      </c>
      <c r="C48" s="32">
        <v>852315</v>
      </c>
      <c r="D48" s="32">
        <v>852315</v>
      </c>
      <c r="E48" s="32">
        <v>856849</v>
      </c>
      <c r="F48" s="32">
        <v>976698</v>
      </c>
      <c r="G48" s="32">
        <v>879546</v>
      </c>
      <c r="H48" s="32">
        <v>801395</v>
      </c>
    </row>
    <row r="49" spans="1:8" hidden="1">
      <c r="A49" s="9">
        <v>50220</v>
      </c>
      <c r="B49" s="31" t="s">
        <v>405</v>
      </c>
      <c r="C49" s="32"/>
      <c r="D49" s="32"/>
      <c r="E49" s="32"/>
      <c r="F49" s="32"/>
      <c r="G49" s="32"/>
      <c r="H49" s="32"/>
    </row>
    <row r="50" spans="1:8">
      <c r="A50" s="9">
        <v>50230</v>
      </c>
      <c r="B50" s="31" t="s">
        <v>406</v>
      </c>
      <c r="C50" s="32">
        <v>888</v>
      </c>
      <c r="D50" s="32">
        <v>888</v>
      </c>
      <c r="E50" s="32">
        <v>900</v>
      </c>
      <c r="F50" s="32">
        <v>900</v>
      </c>
      <c r="G50" s="32">
        <v>900</v>
      </c>
      <c r="H50" s="32">
        <v>900</v>
      </c>
    </row>
    <row r="51" spans="1:8">
      <c r="A51" s="9">
        <v>50240</v>
      </c>
      <c r="B51" s="31" t="s">
        <v>407</v>
      </c>
      <c r="C51" s="32">
        <v>13165</v>
      </c>
      <c r="D51" s="32">
        <v>13165</v>
      </c>
      <c r="E51" s="32">
        <v>13100</v>
      </c>
      <c r="F51" s="32">
        <v>13100</v>
      </c>
      <c r="G51" s="32">
        <v>13100</v>
      </c>
      <c r="H51" s="32">
        <v>13100</v>
      </c>
    </row>
    <row r="52" spans="1:8">
      <c r="A52" s="9">
        <v>50250</v>
      </c>
      <c r="B52" s="31" t="s">
        <v>408</v>
      </c>
      <c r="C52" s="32"/>
      <c r="D52" s="32"/>
      <c r="E52" s="32"/>
      <c r="F52" s="32"/>
      <c r="G52" s="32"/>
      <c r="H52" s="32"/>
    </row>
    <row r="53" spans="1:8">
      <c r="A53" s="8">
        <v>50300</v>
      </c>
      <c r="B53" s="29" t="s">
        <v>409</v>
      </c>
      <c r="C53" s="35">
        <v>658508</v>
      </c>
      <c r="D53" s="35">
        <v>2652150</v>
      </c>
      <c r="E53" s="35">
        <v>2921603</v>
      </c>
      <c r="F53" s="35">
        <v>2742517</v>
      </c>
      <c r="G53" s="35">
        <v>2782189</v>
      </c>
      <c r="H53" s="35">
        <v>3360490</v>
      </c>
    </row>
    <row r="54" spans="1:8" s="62" customFormat="1" ht="37.5">
      <c r="A54" s="8">
        <v>51000</v>
      </c>
      <c r="B54" s="29" t="s">
        <v>410</v>
      </c>
      <c r="C54" s="30">
        <f>C42+C28</f>
        <v>12054413</v>
      </c>
      <c r="D54" s="30">
        <f t="shared" ref="D54:H54" si="13">D42+D28</f>
        <v>14048055</v>
      </c>
      <c r="E54" s="30">
        <f t="shared" si="13"/>
        <v>14615472</v>
      </c>
      <c r="F54" s="30">
        <f t="shared" si="13"/>
        <v>14543886</v>
      </c>
      <c r="G54" s="30">
        <f t="shared" si="13"/>
        <v>14476769</v>
      </c>
      <c r="H54" s="30">
        <f t="shared" si="13"/>
        <v>15167141</v>
      </c>
    </row>
    <row r="55" spans="1:8">
      <c r="A55" s="400"/>
      <c r="B55" s="401"/>
      <c r="C55" s="401"/>
      <c r="D55" s="401"/>
      <c r="E55" s="401"/>
      <c r="F55" s="401"/>
      <c r="G55" s="401"/>
      <c r="H55" s="401"/>
    </row>
    <row r="56" spans="1:8" s="62" customFormat="1">
      <c r="A56" s="8" t="s">
        <v>312</v>
      </c>
      <c r="B56" s="29" t="s">
        <v>411</v>
      </c>
      <c r="C56" s="30">
        <f>SUM(C57:C58)</f>
        <v>6223742</v>
      </c>
      <c r="D56" s="30">
        <f t="shared" ref="D56:H56" si="14">SUM(D57:D58)</f>
        <v>7758242</v>
      </c>
      <c r="E56" s="30">
        <f t="shared" si="14"/>
        <v>8176756</v>
      </c>
      <c r="F56" s="30">
        <f t="shared" si="14"/>
        <v>8142932</v>
      </c>
      <c r="G56" s="30">
        <f t="shared" si="14"/>
        <v>8106531</v>
      </c>
      <c r="H56" s="30">
        <f t="shared" si="14"/>
        <v>8491327</v>
      </c>
    </row>
    <row r="57" spans="1:8" s="62" customFormat="1">
      <c r="A57" s="8">
        <v>21000</v>
      </c>
      <c r="B57" s="36" t="s">
        <v>412</v>
      </c>
      <c r="C57" s="30">
        <f>C11</f>
        <v>4324613</v>
      </c>
      <c r="D57" s="30">
        <f t="shared" ref="D57:H57" si="15">D11</f>
        <v>5859113</v>
      </c>
      <c r="E57" s="30">
        <f t="shared" si="15"/>
        <v>5859113</v>
      </c>
      <c r="F57" s="30">
        <f t="shared" si="15"/>
        <v>5859113</v>
      </c>
      <c r="G57" s="30">
        <f t="shared" si="15"/>
        <v>5859113</v>
      </c>
      <c r="H57" s="30">
        <f t="shared" si="15"/>
        <v>6106998</v>
      </c>
    </row>
    <row r="58" spans="1:8" s="62" customFormat="1">
      <c r="A58" s="8">
        <v>22000</v>
      </c>
      <c r="B58" s="37" t="s">
        <v>413</v>
      </c>
      <c r="C58" s="30">
        <f>C17</f>
        <v>1899129</v>
      </c>
      <c r="D58" s="30">
        <f t="shared" ref="D58:H58" si="16">D17</f>
        <v>1899129</v>
      </c>
      <c r="E58" s="30">
        <f t="shared" si="16"/>
        <v>2317643</v>
      </c>
      <c r="F58" s="30">
        <f t="shared" si="16"/>
        <v>2283819</v>
      </c>
      <c r="G58" s="30">
        <f t="shared" si="16"/>
        <v>2247418</v>
      </c>
      <c r="H58" s="30">
        <f t="shared" si="16"/>
        <v>2384329</v>
      </c>
    </row>
  </sheetData>
  <mergeCells count="2">
    <mergeCell ref="A27:H27"/>
    <mergeCell ref="A55:H55"/>
  </mergeCells>
  <pageMargins left="0.70866141732283472" right="0.70866141732283472" top="0.55118110236220474" bottom="0.19685039370078741" header="0.31496062992125984" footer="0.31496062992125984"/>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3"/>
  <sheetViews>
    <sheetView topLeftCell="A24" zoomScaleNormal="100" workbookViewId="0">
      <selection activeCell="A3" sqref="A3:XFD23"/>
    </sheetView>
  </sheetViews>
  <sheetFormatPr defaultColWidth="7.7109375" defaultRowHeight="18.75"/>
  <cols>
    <col min="1" max="1" width="8.140625" style="68" customWidth="1"/>
    <col min="2" max="2" width="41.140625" style="68" customWidth="1"/>
    <col min="3" max="3" width="13.85546875" style="68" customWidth="1"/>
    <col min="4" max="4" width="14.140625" style="68" customWidth="1"/>
    <col min="5" max="5" width="17.7109375" style="68" customWidth="1"/>
    <col min="6" max="6" width="15.5703125" style="68" customWidth="1"/>
    <col min="7" max="7" width="13.85546875" style="68" customWidth="1"/>
    <col min="8" max="8" width="17.7109375" style="68" customWidth="1"/>
    <col min="9" max="235" width="9.140625" style="68" customWidth="1"/>
    <col min="236" max="236" width="3.140625" style="68" customWidth="1"/>
    <col min="237" max="237" width="4.42578125" style="68" customWidth="1"/>
    <col min="238" max="238" width="26" style="68" customWidth="1"/>
    <col min="239" max="239" width="8.7109375" style="68" customWidth="1"/>
    <col min="240" max="241" width="7.7109375" style="68" customWidth="1"/>
    <col min="242" max="242" width="8.7109375" style="68" customWidth="1"/>
    <col min="243" max="244" width="7.7109375" style="68" customWidth="1"/>
    <col min="245" max="245" width="8.7109375" style="68" customWidth="1"/>
    <col min="246" max="16384" width="7.7109375" style="68"/>
  </cols>
  <sheetData>
    <row r="1" spans="1:8" ht="52.5" customHeight="1">
      <c r="A1" s="66" t="s">
        <v>0</v>
      </c>
      <c r="B1" s="67" t="s">
        <v>580</v>
      </c>
      <c r="C1" s="1" t="s">
        <v>474</v>
      </c>
      <c r="D1" s="1" t="s">
        <v>469</v>
      </c>
      <c r="E1" s="1" t="s">
        <v>470</v>
      </c>
      <c r="F1" s="1" t="s">
        <v>471</v>
      </c>
      <c r="G1" s="1" t="s">
        <v>472</v>
      </c>
      <c r="H1" s="1" t="s">
        <v>473</v>
      </c>
    </row>
    <row r="2" spans="1:8">
      <c r="A2" s="66">
        <v>1</v>
      </c>
      <c r="B2" s="67">
        <v>2</v>
      </c>
      <c r="C2" s="1">
        <v>3</v>
      </c>
      <c r="D2" s="1">
        <v>4</v>
      </c>
      <c r="E2" s="1">
        <v>5</v>
      </c>
      <c r="F2" s="1">
        <v>6</v>
      </c>
      <c r="G2" s="1">
        <v>7</v>
      </c>
      <c r="H2" s="1">
        <v>8</v>
      </c>
    </row>
    <row r="3" spans="1:8" hidden="1">
      <c r="A3" s="149">
        <v>51000</v>
      </c>
      <c r="B3" s="56" t="s">
        <v>295</v>
      </c>
      <c r="C3" s="84">
        <f t="shared" ref="C3:H3" ca="1" si="0">C4+C7+C10+C13</f>
        <v>0</v>
      </c>
      <c r="D3" s="84">
        <f t="shared" ca="1" si="0"/>
        <v>0</v>
      </c>
      <c r="E3" s="84">
        <f t="shared" ca="1" si="0"/>
        <v>0</v>
      </c>
      <c r="F3" s="84">
        <f t="shared" ca="1" si="0"/>
        <v>0</v>
      </c>
      <c r="G3" s="84">
        <f t="shared" ca="1" si="0"/>
        <v>0</v>
      </c>
      <c r="H3" s="84">
        <f t="shared" ca="1" si="0"/>
        <v>0</v>
      </c>
    </row>
    <row r="4" spans="1:8" ht="40.5" hidden="1" customHeight="1">
      <c r="A4" s="69">
        <v>51100</v>
      </c>
      <c r="B4" s="112" t="s">
        <v>565</v>
      </c>
      <c r="C4" s="139">
        <f ca="1">SUM(OFFSET(C7,-1,0):OFFSET(C4,1,0))</f>
        <v>0</v>
      </c>
      <c r="D4" s="139">
        <f ca="1">SUM(OFFSET(D7,-1,0):OFFSET(D4,1,0))</f>
        <v>0</v>
      </c>
      <c r="E4" s="139">
        <f ca="1">SUM(OFFSET(E7,-1,0):OFFSET(E4,1,0))</f>
        <v>0</v>
      </c>
      <c r="F4" s="139">
        <f ca="1">SUM(OFFSET(F7,-1,0):OFFSET(F4,1,0))</f>
        <v>0</v>
      </c>
      <c r="G4" s="139">
        <f ca="1">SUM(OFFSET(G7,-1,0):OFFSET(G4,1,0))</f>
        <v>0</v>
      </c>
      <c r="H4" s="139">
        <f ca="1">SUM(OFFSET(H7,-1,0):OFFSET(H4,1,0))</f>
        <v>0</v>
      </c>
    </row>
    <row r="5" spans="1:8" s="171" customFormat="1" hidden="1">
      <c r="A5" s="168"/>
      <c r="B5" s="133"/>
      <c r="C5" s="371"/>
      <c r="D5" s="371"/>
      <c r="E5" s="371"/>
      <c r="F5" s="371"/>
      <c r="G5" s="371"/>
      <c r="H5" s="371"/>
    </row>
    <row r="6" spans="1:8" s="171" customFormat="1" hidden="1">
      <c r="A6" s="168"/>
      <c r="B6" s="133"/>
      <c r="C6" s="371"/>
      <c r="D6" s="371"/>
      <c r="E6" s="371"/>
      <c r="F6" s="371"/>
      <c r="G6" s="371"/>
      <c r="H6" s="371"/>
    </row>
    <row r="7" spans="1:8" ht="22.5" hidden="1">
      <c r="A7" s="147">
        <v>51200</v>
      </c>
      <c r="B7" s="148" t="s">
        <v>566</v>
      </c>
      <c r="C7" s="139">
        <f ca="1">SUM(OFFSET(C10,-1,0):OFFSET(C7,1,0))</f>
        <v>0</v>
      </c>
      <c r="D7" s="139">
        <f ca="1">SUM(OFFSET(D10,-1,0):OFFSET(D7,1,0))</f>
        <v>0</v>
      </c>
      <c r="E7" s="139">
        <f ca="1">SUM(OFFSET(E10,-1,0):OFFSET(E7,1,0))</f>
        <v>0</v>
      </c>
      <c r="F7" s="139">
        <f ca="1">SUM(OFFSET(F10,-1,0):OFFSET(F7,1,0))</f>
        <v>0</v>
      </c>
      <c r="G7" s="139">
        <f ca="1">SUM(OFFSET(G10,-1,0):OFFSET(G7,1,0))</f>
        <v>0</v>
      </c>
      <c r="H7" s="139">
        <f ca="1">SUM(OFFSET(H10,-1,0):OFFSET(H7,1,0))</f>
        <v>0</v>
      </c>
    </row>
    <row r="8" spans="1:8" s="171" customFormat="1" hidden="1">
      <c r="A8" s="159"/>
      <c r="B8" s="160"/>
      <c r="C8" s="371"/>
      <c r="D8" s="371"/>
      <c r="E8" s="371"/>
      <c r="F8" s="371"/>
      <c r="G8" s="371"/>
      <c r="H8" s="371"/>
    </row>
    <row r="9" spans="1:8" s="171" customFormat="1" hidden="1">
      <c r="A9" s="159"/>
      <c r="B9" s="160"/>
      <c r="C9" s="371"/>
      <c r="D9" s="371"/>
      <c r="E9" s="371"/>
      <c r="F9" s="371"/>
      <c r="G9" s="371"/>
      <c r="H9" s="371"/>
    </row>
    <row r="10" spans="1:8" ht="56.25" hidden="1">
      <c r="A10" s="147">
        <v>51300</v>
      </c>
      <c r="B10" s="148" t="s">
        <v>301</v>
      </c>
      <c r="C10" s="139">
        <f ca="1">SUM(OFFSET(C13,-1,0):OFFSET(C10,1,0))</f>
        <v>0</v>
      </c>
      <c r="D10" s="139">
        <f ca="1">SUM(OFFSET(D13,-1,0):OFFSET(D10,1,0))</f>
        <v>0</v>
      </c>
      <c r="E10" s="139">
        <f ca="1">SUM(OFFSET(E13,-1,0):OFFSET(E10,1,0))</f>
        <v>0</v>
      </c>
      <c r="F10" s="139">
        <f ca="1">SUM(OFFSET(F13,-1,0):OFFSET(F10,1,0))</f>
        <v>0</v>
      </c>
      <c r="G10" s="139">
        <f ca="1">SUM(OFFSET(G13,-1,0):OFFSET(G10,1,0))</f>
        <v>0</v>
      </c>
      <c r="H10" s="139">
        <f ca="1">SUM(OFFSET(H13,-1,0):OFFSET(H10,1,0))</f>
        <v>0</v>
      </c>
    </row>
    <row r="11" spans="1:8" s="171" customFormat="1" hidden="1">
      <c r="A11" s="159"/>
      <c r="B11" s="160"/>
      <c r="C11" s="371"/>
      <c r="D11" s="371"/>
      <c r="E11" s="371"/>
      <c r="F11" s="371"/>
      <c r="G11" s="371"/>
      <c r="H11" s="371"/>
    </row>
    <row r="12" spans="1:8" s="171" customFormat="1" hidden="1">
      <c r="A12" s="159"/>
      <c r="B12" s="160"/>
      <c r="C12" s="371"/>
      <c r="D12" s="371"/>
      <c r="E12" s="371"/>
      <c r="F12" s="371"/>
      <c r="G12" s="371"/>
      <c r="H12" s="371"/>
    </row>
    <row r="13" spans="1:8" ht="41.25" hidden="1">
      <c r="A13" s="147">
        <v>51400</v>
      </c>
      <c r="B13" s="148" t="s">
        <v>567</v>
      </c>
      <c r="C13" s="139">
        <f ca="1">SUM(OFFSET(C16,-1,0):OFFSET(C13,1,0))</f>
        <v>0</v>
      </c>
      <c r="D13" s="139">
        <f ca="1">SUM(OFFSET(D16,-1,0):OFFSET(D13,1,0))</f>
        <v>0</v>
      </c>
      <c r="E13" s="139">
        <f ca="1">SUM(OFFSET(E16,-1,0):OFFSET(E13,1,0))</f>
        <v>0</v>
      </c>
      <c r="F13" s="139">
        <f ca="1">SUM(OFFSET(F16,-1,0):OFFSET(F13,1,0))</f>
        <v>0</v>
      </c>
      <c r="G13" s="139">
        <f ca="1">SUM(OFFSET(G16,-1,0):OFFSET(G13,1,0))</f>
        <v>0</v>
      </c>
      <c r="H13" s="139">
        <f ca="1">SUM(OFFSET(H16,-1,0):OFFSET(H13,1,0))</f>
        <v>0</v>
      </c>
    </row>
    <row r="14" spans="1:8" s="171" customFormat="1" hidden="1">
      <c r="A14" s="159"/>
      <c r="B14" s="160"/>
      <c r="C14" s="371"/>
      <c r="D14" s="371"/>
      <c r="E14" s="371"/>
      <c r="F14" s="371"/>
      <c r="G14" s="371"/>
      <c r="H14" s="371"/>
    </row>
    <row r="15" spans="1:8" s="171" customFormat="1" hidden="1">
      <c r="A15" s="159"/>
      <c r="B15" s="160"/>
      <c r="C15" s="371"/>
      <c r="D15" s="371"/>
      <c r="E15" s="371"/>
      <c r="F15" s="371"/>
      <c r="G15" s="371"/>
      <c r="H15" s="371"/>
    </row>
    <row r="16" spans="1:8" hidden="1">
      <c r="A16" s="149">
        <v>52000</v>
      </c>
      <c r="B16" s="56" t="s">
        <v>296</v>
      </c>
      <c r="C16" s="84">
        <f ca="1">SUM(OFFSET(C24,-1,0):OFFSET(C16,1,0))</f>
        <v>0</v>
      </c>
      <c r="D16" s="84">
        <f ca="1">SUM(OFFSET(D24,-1,0):OFFSET(D16,1,0))</f>
        <v>0</v>
      </c>
      <c r="E16" s="84">
        <f ca="1">SUM(OFFSET(E24,-1,0):OFFSET(E16,1,0))</f>
        <v>0</v>
      </c>
      <c r="F16" s="84">
        <f ca="1">SUM(OFFSET(F24,-1,0):OFFSET(F16,1,0))</f>
        <v>0</v>
      </c>
      <c r="G16" s="84">
        <f ca="1">SUM(OFFSET(G24,-1,0):OFFSET(G16,1,0))</f>
        <v>0</v>
      </c>
      <c r="H16" s="84">
        <f ca="1">SUM(OFFSET(H24,-1,0):OFFSET(H16,1,0))</f>
        <v>0</v>
      </c>
    </row>
    <row r="17" spans="1:8" ht="22.5" hidden="1">
      <c r="A17" s="150">
        <v>52100</v>
      </c>
      <c r="B17" s="151" t="s">
        <v>568</v>
      </c>
      <c r="C17" s="371"/>
      <c r="D17" s="371"/>
      <c r="E17" s="49"/>
      <c r="F17" s="49"/>
      <c r="G17" s="49"/>
      <c r="H17" s="49"/>
    </row>
    <row r="18" spans="1:8" ht="22.5" hidden="1">
      <c r="A18" s="150">
        <v>52200</v>
      </c>
      <c r="B18" s="151" t="s">
        <v>569</v>
      </c>
      <c r="C18" s="371"/>
      <c r="D18" s="371"/>
      <c r="E18" s="49"/>
      <c r="F18" s="49"/>
      <c r="G18" s="49"/>
      <c r="H18" s="49"/>
    </row>
    <row r="19" spans="1:8" ht="22.5" hidden="1">
      <c r="A19" s="150">
        <v>52300</v>
      </c>
      <c r="B19" s="151" t="s">
        <v>570</v>
      </c>
      <c r="C19" s="371"/>
      <c r="D19" s="371"/>
      <c r="E19" s="49"/>
      <c r="F19" s="49"/>
      <c r="G19" s="49"/>
      <c r="H19" s="49"/>
    </row>
    <row r="20" spans="1:8" ht="22.5" hidden="1">
      <c r="A20" s="150">
        <v>52400</v>
      </c>
      <c r="B20" s="151" t="s">
        <v>571</v>
      </c>
      <c r="C20" s="371"/>
      <c r="D20" s="371"/>
      <c r="E20" s="49"/>
      <c r="F20" s="49"/>
      <c r="G20" s="49"/>
      <c r="H20" s="49"/>
    </row>
    <row r="21" spans="1:8" ht="22.5" hidden="1">
      <c r="A21" s="150">
        <v>52500</v>
      </c>
      <c r="B21" s="151" t="s">
        <v>572</v>
      </c>
      <c r="C21" s="371"/>
      <c r="D21" s="371"/>
      <c r="E21" s="49"/>
      <c r="F21" s="49"/>
      <c r="G21" s="49"/>
      <c r="H21" s="49"/>
    </row>
    <row r="22" spans="1:8" hidden="1">
      <c r="A22" s="150">
        <v>52600</v>
      </c>
      <c r="B22" s="151" t="s">
        <v>293</v>
      </c>
      <c r="C22" s="371"/>
      <c r="D22" s="371"/>
      <c r="E22" s="49"/>
      <c r="F22" s="49"/>
      <c r="G22" s="49"/>
      <c r="H22" s="49"/>
    </row>
    <row r="23" spans="1:8" ht="22.5" hidden="1">
      <c r="A23" s="152">
        <v>52700</v>
      </c>
      <c r="B23" s="153" t="s">
        <v>573</v>
      </c>
      <c r="C23" s="371"/>
      <c r="D23" s="371"/>
      <c r="E23" s="49"/>
      <c r="F23" s="49"/>
      <c r="G23" s="49"/>
      <c r="H23" s="49"/>
    </row>
    <row r="24" spans="1:8">
      <c r="A24" s="149">
        <v>53000</v>
      </c>
      <c r="B24" s="56" t="s">
        <v>297</v>
      </c>
      <c r="C24" s="84">
        <f t="shared" ref="C24:H24" ca="1" si="1">C25+C59+C62+C65+C68+C71</f>
        <v>532140</v>
      </c>
      <c r="D24" s="84">
        <f t="shared" ca="1" si="1"/>
        <v>699038</v>
      </c>
      <c r="E24" s="84">
        <f t="shared" ca="1" si="1"/>
        <v>143009.5</v>
      </c>
      <c r="F24" s="84">
        <f t="shared" ca="1" si="1"/>
        <v>543890.5</v>
      </c>
      <c r="G24" s="84">
        <f t="shared" ca="1" si="1"/>
        <v>735562.5</v>
      </c>
      <c r="H24" s="84">
        <f t="shared" ca="1" si="1"/>
        <v>788930.5</v>
      </c>
    </row>
    <row r="25" spans="1:8" ht="41.25">
      <c r="A25" s="154">
        <v>53100</v>
      </c>
      <c r="B25" s="155" t="s">
        <v>574</v>
      </c>
      <c r="C25" s="165">
        <f t="shared" ref="C25:H25" ca="1" si="2">C26+C56</f>
        <v>374940</v>
      </c>
      <c r="D25" s="165">
        <f t="shared" ca="1" si="2"/>
        <v>522939</v>
      </c>
      <c r="E25" s="165">
        <f t="shared" ca="1" si="2"/>
        <v>143009.5</v>
      </c>
      <c r="F25" s="165">
        <f t="shared" ca="1" si="2"/>
        <v>543890.5</v>
      </c>
      <c r="G25" s="165">
        <f t="shared" ca="1" si="2"/>
        <v>735562.5</v>
      </c>
      <c r="H25" s="165">
        <f t="shared" ca="1" si="2"/>
        <v>788930.5</v>
      </c>
    </row>
    <row r="26" spans="1:8" ht="37.5">
      <c r="A26" s="150">
        <v>53110</v>
      </c>
      <c r="B26" s="156" t="s">
        <v>299</v>
      </c>
      <c r="C26" s="139">
        <f ca="1">SUM(OFFSET(C56,-1,0):OFFSET(C26,1,0))</f>
        <v>366940</v>
      </c>
      <c r="D26" s="139">
        <f ca="1">SUM(OFFSET(D56,-1,0):OFFSET(D26,1,0))</f>
        <v>514939</v>
      </c>
      <c r="E26" s="139">
        <f ca="1">SUM(OFFSET(E56,-1,0):OFFSET(E26,1,0))</f>
        <v>127997.5</v>
      </c>
      <c r="F26" s="139">
        <f ca="1">SUM(OFFSET(F56,-1,0):OFFSET(F26,1,0))</f>
        <v>513866.5</v>
      </c>
      <c r="G26" s="139">
        <f ca="1">SUM(OFFSET(G56,-1,0):OFFSET(G26,1,0))</f>
        <v>690526.5</v>
      </c>
      <c r="H26" s="139">
        <f ca="1">SUM(OFFSET(H56,-1,0):OFFSET(H26,1,0))</f>
        <v>728878.5</v>
      </c>
    </row>
    <row r="27" spans="1:8" s="171" customFormat="1" hidden="1">
      <c r="A27" s="161"/>
      <c r="B27" s="162"/>
      <c r="C27" s="371"/>
      <c r="D27" s="371"/>
      <c r="E27" s="49"/>
      <c r="F27" s="49"/>
      <c r="G27" s="49"/>
      <c r="H27" s="49"/>
    </row>
    <row r="28" spans="1:8" s="171" customFormat="1">
      <c r="A28" s="161"/>
      <c r="B28" s="162" t="s">
        <v>616</v>
      </c>
      <c r="C28" s="371"/>
      <c r="D28" s="371"/>
      <c r="E28" s="49">
        <v>27830</v>
      </c>
      <c r="F28" s="49">
        <v>27830</v>
      </c>
      <c r="G28" s="49">
        <v>27830</v>
      </c>
      <c r="H28" s="49">
        <v>27830</v>
      </c>
    </row>
    <row r="29" spans="1:8" s="171" customFormat="1" ht="56.25">
      <c r="A29" s="161"/>
      <c r="B29" s="162" t="s">
        <v>617</v>
      </c>
      <c r="C29" s="371"/>
      <c r="D29" s="371"/>
      <c r="E29" s="49">
        <v>75600</v>
      </c>
      <c r="F29" s="49">
        <v>75600</v>
      </c>
      <c r="G29" s="49">
        <v>75600</v>
      </c>
      <c r="H29" s="49">
        <v>75600</v>
      </c>
    </row>
    <row r="30" spans="1:8" s="171" customFormat="1" ht="37.5">
      <c r="A30" s="161"/>
      <c r="B30" s="162" t="s">
        <v>618</v>
      </c>
      <c r="C30" s="371"/>
      <c r="D30" s="371"/>
      <c r="E30" s="49">
        <v>6720</v>
      </c>
      <c r="F30" s="49">
        <v>6720</v>
      </c>
      <c r="G30" s="49">
        <v>6720</v>
      </c>
      <c r="H30" s="49">
        <v>6720</v>
      </c>
    </row>
    <row r="31" spans="1:8" s="171" customFormat="1" ht="56.25">
      <c r="A31" s="161"/>
      <c r="B31" s="162" t="s">
        <v>619</v>
      </c>
      <c r="C31" s="371"/>
      <c r="D31" s="371"/>
      <c r="E31" s="49">
        <v>7865</v>
      </c>
      <c r="F31" s="49">
        <v>7865</v>
      </c>
      <c r="G31" s="49">
        <v>7865</v>
      </c>
      <c r="H31" s="49">
        <v>7865</v>
      </c>
    </row>
    <row r="32" spans="1:8" s="171" customFormat="1">
      <c r="A32" s="161"/>
      <c r="B32" s="162" t="s">
        <v>620</v>
      </c>
      <c r="C32" s="371"/>
      <c r="D32" s="371"/>
      <c r="E32" s="49">
        <v>9982.5</v>
      </c>
      <c r="F32" s="49">
        <v>9982.5</v>
      </c>
      <c r="G32" s="49">
        <v>9982.5</v>
      </c>
      <c r="H32" s="49">
        <v>9982.5</v>
      </c>
    </row>
    <row r="33" spans="1:8" s="171" customFormat="1" ht="37.5">
      <c r="A33" s="161"/>
      <c r="B33" s="162" t="s">
        <v>621</v>
      </c>
      <c r="C33" s="371"/>
      <c r="D33" s="371"/>
      <c r="E33" s="49"/>
      <c r="F33" s="49">
        <v>6050</v>
      </c>
      <c r="G33" s="49">
        <v>6050</v>
      </c>
      <c r="H33" s="49">
        <v>6050</v>
      </c>
    </row>
    <row r="34" spans="1:8" s="171" customFormat="1">
      <c r="A34" s="161"/>
      <c r="B34" s="162" t="s">
        <v>622</v>
      </c>
      <c r="C34" s="371"/>
      <c r="D34" s="371"/>
      <c r="E34" s="49"/>
      <c r="F34" s="49">
        <v>22385</v>
      </c>
      <c r="G34" s="49">
        <v>22385</v>
      </c>
      <c r="H34" s="49">
        <v>22385</v>
      </c>
    </row>
    <row r="35" spans="1:8" s="171" customFormat="1" ht="37.5">
      <c r="A35" s="161"/>
      <c r="B35" s="162" t="s">
        <v>623</v>
      </c>
      <c r="C35" s="371"/>
      <c r="D35" s="371"/>
      <c r="E35" s="49"/>
      <c r="F35" s="49">
        <v>7865</v>
      </c>
      <c r="G35" s="49">
        <v>7865</v>
      </c>
      <c r="H35" s="49">
        <v>7865</v>
      </c>
    </row>
    <row r="36" spans="1:8" s="171" customFormat="1" ht="75">
      <c r="A36" s="161"/>
      <c r="B36" s="162" t="s">
        <v>624</v>
      </c>
      <c r="C36" s="371"/>
      <c r="D36" s="371"/>
      <c r="E36" s="49"/>
      <c r="F36" s="49">
        <v>60500</v>
      </c>
      <c r="G36" s="49">
        <v>60500</v>
      </c>
      <c r="H36" s="49">
        <v>60500</v>
      </c>
    </row>
    <row r="37" spans="1:8" s="171" customFormat="1" ht="37.5">
      <c r="A37" s="161"/>
      <c r="B37" s="162" t="s">
        <v>625</v>
      </c>
      <c r="C37" s="371"/>
      <c r="D37" s="371"/>
      <c r="E37" s="49"/>
      <c r="F37" s="49">
        <v>9680</v>
      </c>
      <c r="G37" s="49">
        <v>9680</v>
      </c>
      <c r="H37" s="49">
        <v>9680</v>
      </c>
    </row>
    <row r="38" spans="1:8" s="171" customFormat="1" ht="37.5">
      <c r="A38" s="161"/>
      <c r="B38" s="162" t="s">
        <v>626</v>
      </c>
      <c r="C38" s="371"/>
      <c r="D38" s="371"/>
      <c r="E38" s="49"/>
      <c r="F38" s="49">
        <v>48400</v>
      </c>
      <c r="G38" s="49">
        <v>48400</v>
      </c>
      <c r="H38" s="49">
        <v>48400</v>
      </c>
    </row>
    <row r="39" spans="1:8" s="171" customFormat="1">
      <c r="A39" s="161"/>
      <c r="B39" s="162" t="s">
        <v>627</v>
      </c>
      <c r="C39" s="371"/>
      <c r="D39" s="371"/>
      <c r="E39" s="49"/>
      <c r="F39" s="49">
        <v>58080</v>
      </c>
      <c r="G39" s="49">
        <v>58080</v>
      </c>
      <c r="H39" s="49">
        <v>58080</v>
      </c>
    </row>
    <row r="40" spans="1:8" s="171" customFormat="1" ht="37.5">
      <c r="A40" s="161"/>
      <c r="B40" s="162" t="s">
        <v>628</v>
      </c>
      <c r="C40" s="371"/>
      <c r="D40" s="371"/>
      <c r="E40" s="49"/>
      <c r="F40" s="49">
        <v>19360</v>
      </c>
      <c r="G40" s="49">
        <v>19360</v>
      </c>
      <c r="H40" s="49">
        <v>19360</v>
      </c>
    </row>
    <row r="41" spans="1:8" s="171" customFormat="1">
      <c r="A41" s="161"/>
      <c r="B41" s="162" t="s">
        <v>629</v>
      </c>
      <c r="C41" s="371"/>
      <c r="D41" s="371"/>
      <c r="E41" s="49"/>
      <c r="F41" s="49">
        <v>6050</v>
      </c>
      <c r="G41" s="49">
        <v>6050</v>
      </c>
      <c r="H41" s="49">
        <v>6050</v>
      </c>
    </row>
    <row r="42" spans="1:8" s="171" customFormat="1" ht="93.75">
      <c r="A42" s="161"/>
      <c r="B42" s="162" t="s">
        <v>630</v>
      </c>
      <c r="C42" s="371"/>
      <c r="D42" s="371"/>
      <c r="E42" s="49"/>
      <c r="F42" s="49">
        <v>11979</v>
      </c>
      <c r="G42" s="49">
        <v>11979</v>
      </c>
      <c r="H42" s="49">
        <v>11979</v>
      </c>
    </row>
    <row r="43" spans="1:8" s="171" customFormat="1" ht="37.5">
      <c r="A43" s="161"/>
      <c r="B43" s="162" t="s">
        <v>631</v>
      </c>
      <c r="C43" s="371"/>
      <c r="D43" s="371"/>
      <c r="E43" s="49"/>
      <c r="F43" s="49">
        <v>42350</v>
      </c>
      <c r="G43" s="49">
        <v>42350</v>
      </c>
      <c r="H43" s="49">
        <v>42350</v>
      </c>
    </row>
    <row r="44" spans="1:8" s="171" customFormat="1" ht="37.5">
      <c r="A44" s="161"/>
      <c r="B44" s="162" t="s">
        <v>632</v>
      </c>
      <c r="C44" s="371"/>
      <c r="D44" s="371"/>
      <c r="E44" s="49"/>
      <c r="F44" s="49">
        <v>6050</v>
      </c>
      <c r="G44" s="49">
        <v>6050</v>
      </c>
      <c r="H44" s="49">
        <v>6050</v>
      </c>
    </row>
    <row r="45" spans="1:8" s="171" customFormat="1" ht="37.5">
      <c r="A45" s="161"/>
      <c r="B45" s="162" t="s">
        <v>633</v>
      </c>
      <c r="C45" s="371"/>
      <c r="D45" s="371"/>
      <c r="E45" s="49"/>
      <c r="F45" s="49">
        <v>65340</v>
      </c>
      <c r="G45" s="49">
        <v>65340</v>
      </c>
      <c r="H45" s="49">
        <v>65340</v>
      </c>
    </row>
    <row r="46" spans="1:8" s="171" customFormat="1" ht="37.5">
      <c r="A46" s="161"/>
      <c r="B46" s="162" t="s">
        <v>634</v>
      </c>
      <c r="C46" s="371"/>
      <c r="D46" s="371"/>
      <c r="E46" s="49"/>
      <c r="F46" s="49">
        <v>21780</v>
      </c>
      <c r="G46" s="49">
        <v>21780</v>
      </c>
      <c r="H46" s="49">
        <v>21780</v>
      </c>
    </row>
    <row r="47" spans="1:8" s="171" customFormat="1" ht="37.5">
      <c r="A47" s="161"/>
      <c r="B47" s="162" t="s">
        <v>635</v>
      </c>
      <c r="C47" s="371"/>
      <c r="D47" s="371"/>
      <c r="E47" s="49"/>
      <c r="F47" s="49"/>
      <c r="G47" s="49">
        <v>15730</v>
      </c>
      <c r="H47" s="49">
        <v>15730</v>
      </c>
    </row>
    <row r="48" spans="1:8" s="171" customFormat="1" ht="37.5">
      <c r="A48" s="161"/>
      <c r="B48" s="162" t="s">
        <v>636</v>
      </c>
      <c r="C48" s="371"/>
      <c r="D48" s="371"/>
      <c r="E48" s="49"/>
      <c r="F48" s="49"/>
      <c r="G48" s="49">
        <v>10890</v>
      </c>
      <c r="H48" s="49">
        <v>10890</v>
      </c>
    </row>
    <row r="49" spans="1:8" s="171" customFormat="1">
      <c r="A49" s="161"/>
      <c r="B49" s="162" t="s">
        <v>637</v>
      </c>
      <c r="C49" s="371"/>
      <c r="D49" s="371"/>
      <c r="E49" s="49"/>
      <c r="F49" s="49"/>
      <c r="G49" s="49">
        <v>36300</v>
      </c>
      <c r="H49" s="49">
        <v>36300</v>
      </c>
    </row>
    <row r="50" spans="1:8" s="171" customFormat="1" ht="37.5">
      <c r="A50" s="161"/>
      <c r="B50" s="162" t="s">
        <v>638</v>
      </c>
      <c r="C50" s="371"/>
      <c r="D50" s="371"/>
      <c r="E50" s="49"/>
      <c r="F50" s="49"/>
      <c r="G50" s="49">
        <v>24200</v>
      </c>
      <c r="H50" s="49">
        <v>24200</v>
      </c>
    </row>
    <row r="51" spans="1:8" s="171" customFormat="1">
      <c r="A51" s="161"/>
      <c r="B51" s="162" t="s">
        <v>639</v>
      </c>
      <c r="C51" s="371"/>
      <c r="D51" s="371"/>
      <c r="E51" s="49"/>
      <c r="F51" s="49"/>
      <c r="G51" s="49">
        <v>36300</v>
      </c>
      <c r="H51" s="49">
        <v>36300</v>
      </c>
    </row>
    <row r="52" spans="1:8" s="171" customFormat="1" ht="75">
      <c r="A52" s="161"/>
      <c r="B52" s="162" t="s">
        <v>640</v>
      </c>
      <c r="C52" s="371"/>
      <c r="D52" s="371"/>
      <c r="E52" s="49"/>
      <c r="F52" s="49"/>
      <c r="G52" s="49">
        <v>36300</v>
      </c>
      <c r="H52" s="49">
        <v>36300</v>
      </c>
    </row>
    <row r="53" spans="1:8" s="171" customFormat="1" ht="56.25">
      <c r="A53" s="161"/>
      <c r="B53" s="162" t="s">
        <v>641</v>
      </c>
      <c r="C53" s="371"/>
      <c r="D53" s="371"/>
      <c r="E53" s="49"/>
      <c r="F53" s="49"/>
      <c r="G53" s="49">
        <v>16940</v>
      </c>
      <c r="H53" s="49">
        <v>16940</v>
      </c>
    </row>
    <row r="54" spans="1:8" s="171" customFormat="1" ht="37.5">
      <c r="A54" s="161"/>
      <c r="B54" s="162" t="s">
        <v>642</v>
      </c>
      <c r="C54" s="371"/>
      <c r="D54" s="371"/>
      <c r="E54" s="49"/>
      <c r="F54" s="49"/>
      <c r="G54" s="49"/>
      <c r="H54" s="49">
        <v>11979</v>
      </c>
    </row>
    <row r="55" spans="1:8" s="171" customFormat="1" ht="37.5">
      <c r="A55" s="161"/>
      <c r="B55" s="162" t="s">
        <v>643</v>
      </c>
      <c r="C55" s="371">
        <v>366940</v>
      </c>
      <c r="D55" s="371">
        <v>514939</v>
      </c>
      <c r="E55" s="49"/>
      <c r="F55" s="49"/>
      <c r="G55" s="49"/>
      <c r="H55" s="49">
        <v>26373</v>
      </c>
    </row>
    <row r="56" spans="1:8" ht="37.5">
      <c r="A56" s="150">
        <v>53120</v>
      </c>
      <c r="B56" s="156" t="s">
        <v>300</v>
      </c>
      <c r="C56" s="139">
        <f ca="1">SUM(OFFSET(C59,-1,0):OFFSET(C56,1,0))</f>
        <v>8000</v>
      </c>
      <c r="D56" s="139">
        <f ca="1">SUM(OFFSET(D59,-1,0):OFFSET(D56,1,0))</f>
        <v>8000</v>
      </c>
      <c r="E56" s="139">
        <f ca="1">SUM(OFFSET(E59,-1,0):OFFSET(E56,1,0))</f>
        <v>15012</v>
      </c>
      <c r="F56" s="139">
        <f ca="1">SUM(OFFSET(F59,-1,0):OFFSET(F56,1,0))</f>
        <v>30024</v>
      </c>
      <c r="G56" s="139">
        <f ca="1">SUM(OFFSET(G59,-1,0):OFFSET(G56,1,0))</f>
        <v>45036</v>
      </c>
      <c r="H56" s="139">
        <f ca="1">SUM(OFFSET(H59,-1,0):OFFSET(H56,1,0))</f>
        <v>60052</v>
      </c>
    </row>
    <row r="57" spans="1:8" s="171" customFormat="1" hidden="1">
      <c r="A57" s="161"/>
      <c r="B57" s="162"/>
      <c r="C57" s="371"/>
      <c r="D57" s="371"/>
      <c r="E57" s="49"/>
      <c r="F57" s="49"/>
      <c r="G57" s="49"/>
      <c r="H57" s="49"/>
    </row>
    <row r="58" spans="1:8" s="171" customFormat="1">
      <c r="A58" s="161"/>
      <c r="B58" s="162"/>
      <c r="C58" s="371">
        <v>8000</v>
      </c>
      <c r="D58" s="371">
        <v>8000</v>
      </c>
      <c r="E58" s="49">
        <v>15012</v>
      </c>
      <c r="F58" s="49">
        <v>30024</v>
      </c>
      <c r="G58" s="49">
        <v>45036</v>
      </c>
      <c r="H58" s="49">
        <v>60052</v>
      </c>
    </row>
    <row r="59" spans="1:8" ht="22.5">
      <c r="A59" s="150">
        <v>53200</v>
      </c>
      <c r="B59" s="151" t="s">
        <v>575</v>
      </c>
      <c r="C59" s="139">
        <f ca="1">SUM(OFFSET(C62,-1,0):OFFSET(C59,1,0))</f>
        <v>0</v>
      </c>
      <c r="D59" s="139">
        <f ca="1">SUM(OFFSET(D62,-1,0):OFFSET(D59,1,0))</f>
        <v>0</v>
      </c>
      <c r="E59" s="139">
        <f ca="1">SUM(OFFSET(E62,-1,0):OFFSET(E59,1,0))</f>
        <v>0</v>
      </c>
      <c r="F59" s="139">
        <f ca="1">SUM(OFFSET(F62,-1,0):OFFSET(F59,1,0))</f>
        <v>0</v>
      </c>
      <c r="G59" s="139">
        <f ca="1">SUM(OFFSET(G62,-1,0):OFFSET(G59,1,0))</f>
        <v>0</v>
      </c>
      <c r="H59" s="139">
        <f ca="1">SUM(OFFSET(H62,-1,0):OFFSET(H59,1,0))</f>
        <v>0</v>
      </c>
    </row>
    <row r="60" spans="1:8" s="171" customFormat="1" hidden="1">
      <c r="A60" s="161"/>
      <c r="B60" s="163"/>
      <c r="C60" s="371"/>
      <c r="D60" s="371"/>
      <c r="E60" s="49"/>
      <c r="F60" s="49"/>
      <c r="G60" s="49"/>
      <c r="H60" s="49"/>
    </row>
    <row r="61" spans="1:8" s="171" customFormat="1">
      <c r="A61" s="161"/>
      <c r="B61" s="163"/>
      <c r="C61" s="371"/>
      <c r="D61" s="371"/>
      <c r="E61" s="49"/>
      <c r="F61" s="49"/>
      <c r="G61" s="49"/>
      <c r="H61" s="49"/>
    </row>
    <row r="62" spans="1:8" ht="22.5">
      <c r="A62" s="150">
        <v>53300</v>
      </c>
      <c r="B62" s="151" t="s">
        <v>576</v>
      </c>
      <c r="C62" s="139">
        <f ca="1">SUM(OFFSET(C65,-1,0):OFFSET(C62,1,0))</f>
        <v>90150</v>
      </c>
      <c r="D62" s="139">
        <f ca="1">SUM(OFFSET(D65,-1,0):OFFSET(D62,1,0))</f>
        <v>75498</v>
      </c>
      <c r="E62" s="139">
        <f ca="1">SUM(OFFSET(E65,-1,0):OFFSET(E62,1,0))</f>
        <v>0</v>
      </c>
      <c r="F62" s="139">
        <f ca="1">SUM(OFFSET(F65,-1,0):OFFSET(F62,1,0))</f>
        <v>0</v>
      </c>
      <c r="G62" s="139">
        <f ca="1">SUM(OFFSET(G65,-1,0):OFFSET(G62,1,0))</f>
        <v>0</v>
      </c>
      <c r="H62" s="139">
        <f ca="1">SUM(OFFSET(H65,-1,0):OFFSET(H62,1,0))</f>
        <v>0</v>
      </c>
    </row>
    <row r="63" spans="1:8" s="171" customFormat="1" hidden="1">
      <c r="A63" s="161"/>
      <c r="B63" s="163"/>
      <c r="C63" s="371"/>
      <c r="D63" s="371"/>
      <c r="E63" s="49"/>
      <c r="F63" s="49"/>
      <c r="G63" s="49"/>
      <c r="H63" s="49"/>
    </row>
    <row r="64" spans="1:8" s="171" customFormat="1">
      <c r="A64" s="161"/>
      <c r="B64" s="163"/>
      <c r="C64" s="371">
        <v>90150</v>
      </c>
      <c r="D64" s="371">
        <v>75498</v>
      </c>
      <c r="E64" s="49"/>
      <c r="F64" s="49"/>
      <c r="G64" s="49"/>
      <c r="H64" s="49"/>
    </row>
    <row r="65" spans="1:8" ht="41.25">
      <c r="A65" s="150">
        <v>53400</v>
      </c>
      <c r="B65" s="151" t="s">
        <v>577</v>
      </c>
      <c r="C65" s="139">
        <f ca="1">SUM(OFFSET(C68,-1,0):OFFSET(C65,1,0))</f>
        <v>67050</v>
      </c>
      <c r="D65" s="139">
        <f ca="1">SUM(OFFSET(D68,-1,0):OFFSET(D65,1,0))</f>
        <v>100601</v>
      </c>
      <c r="E65" s="139">
        <f ca="1">SUM(OFFSET(E68,-1,0):OFFSET(E65,1,0))</f>
        <v>0</v>
      </c>
      <c r="F65" s="139">
        <f ca="1">SUM(OFFSET(F68,-1,0):OFFSET(F65,1,0))</f>
        <v>0</v>
      </c>
      <c r="G65" s="139">
        <f ca="1">SUM(OFFSET(G68,-1,0):OFFSET(G65,1,0))</f>
        <v>0</v>
      </c>
      <c r="H65" s="139">
        <f ca="1">SUM(OFFSET(H68,-1,0):OFFSET(H65,1,0))</f>
        <v>0</v>
      </c>
    </row>
    <row r="66" spans="1:8" s="171" customFormat="1" hidden="1">
      <c r="A66" s="161"/>
      <c r="B66" s="163"/>
      <c r="C66" s="371"/>
      <c r="D66" s="371"/>
      <c r="E66" s="49"/>
      <c r="F66" s="49"/>
      <c r="G66" s="49"/>
      <c r="H66" s="49"/>
    </row>
    <row r="67" spans="1:8" s="171" customFormat="1">
      <c r="A67" s="161"/>
      <c r="B67" s="163"/>
      <c r="C67" s="371">
        <v>67050</v>
      </c>
      <c r="D67" s="371">
        <v>100601</v>
      </c>
      <c r="E67" s="49"/>
      <c r="F67" s="49"/>
      <c r="G67" s="49"/>
      <c r="H67" s="49"/>
    </row>
    <row r="68" spans="1:8" ht="41.25" hidden="1">
      <c r="A68" s="150">
        <v>53500</v>
      </c>
      <c r="B68" s="151" t="s">
        <v>578</v>
      </c>
      <c r="C68" s="139">
        <f ca="1">SUM(OFFSET(C71,-1,0):OFFSET(C68,1,0))</f>
        <v>0</v>
      </c>
      <c r="D68" s="139">
        <f ca="1">SUM(OFFSET(D71,-1,0):OFFSET(D68,1,0))</f>
        <v>0</v>
      </c>
      <c r="E68" s="139">
        <f ca="1">SUM(OFFSET(E71,-1,0):OFFSET(E68,1,0))</f>
        <v>0</v>
      </c>
      <c r="F68" s="139">
        <f ca="1">SUM(OFFSET(F71,-1,0):OFFSET(F68,1,0))</f>
        <v>0</v>
      </c>
      <c r="G68" s="139">
        <f ca="1">SUM(OFFSET(G71,-1,0):OFFSET(G68,1,0))</f>
        <v>0</v>
      </c>
      <c r="H68" s="139">
        <f ca="1">SUM(OFFSET(H71,-1,0):OFFSET(H68,1,0))</f>
        <v>0</v>
      </c>
    </row>
    <row r="69" spans="1:8" s="171" customFormat="1" hidden="1">
      <c r="A69" s="161"/>
      <c r="B69" s="163"/>
      <c r="C69" s="371"/>
      <c r="D69" s="371"/>
      <c r="E69" s="49"/>
      <c r="F69" s="49"/>
      <c r="G69" s="49"/>
      <c r="H69" s="49"/>
    </row>
    <row r="70" spans="1:8" s="171" customFormat="1" hidden="1">
      <c r="A70" s="169"/>
      <c r="B70" s="170"/>
      <c r="C70" s="371"/>
      <c r="D70" s="371"/>
      <c r="E70" s="49"/>
      <c r="F70" s="49"/>
      <c r="G70" s="49"/>
      <c r="H70" s="49"/>
    </row>
    <row r="71" spans="1:8" ht="41.25" hidden="1">
      <c r="A71" s="152">
        <v>53600</v>
      </c>
      <c r="B71" s="153" t="s">
        <v>579</v>
      </c>
      <c r="C71" s="139">
        <f ca="1">SUM(OFFSET(C74,-1,0):OFFSET(C71,1,0))</f>
        <v>0</v>
      </c>
      <c r="D71" s="139">
        <f ca="1">SUM(OFFSET(D74,-1,0):OFFSET(D71,1,0))</f>
        <v>0</v>
      </c>
      <c r="E71" s="139">
        <f ca="1">SUM(OFFSET(E74,-1,0):OFFSET(E71,1,0))</f>
        <v>0</v>
      </c>
      <c r="F71" s="139">
        <f ca="1">SUM(OFFSET(F74,-1,0):OFFSET(F71,1,0))</f>
        <v>0</v>
      </c>
      <c r="G71" s="139">
        <f ca="1">SUM(OFFSET(G74,-1,0):OFFSET(G71,1,0))</f>
        <v>0</v>
      </c>
      <c r="H71" s="139">
        <f ca="1">SUM(OFFSET(H74,-1,0):OFFSET(H71,1,0))</f>
        <v>0</v>
      </c>
    </row>
    <row r="72" spans="1:8" s="171" customFormat="1" hidden="1">
      <c r="A72" s="159"/>
      <c r="B72" s="160"/>
      <c r="C72" s="371"/>
      <c r="D72" s="371"/>
      <c r="E72" s="49"/>
      <c r="F72" s="49"/>
      <c r="G72" s="49"/>
      <c r="H72" s="49"/>
    </row>
    <row r="73" spans="1:8" s="171" customFormat="1" hidden="1">
      <c r="A73" s="159"/>
      <c r="B73" s="160"/>
      <c r="C73" s="371"/>
      <c r="D73" s="371"/>
      <c r="E73" s="49"/>
      <c r="F73" s="49"/>
      <c r="G73" s="49"/>
      <c r="H73" s="49"/>
    </row>
    <row r="74" spans="1:8">
      <c r="A74" s="149">
        <v>50000</v>
      </c>
      <c r="B74" s="56" t="s">
        <v>298</v>
      </c>
      <c r="C74" s="166">
        <f t="shared" ref="C74:H74" ca="1" si="3">C3+C24+C16</f>
        <v>532140</v>
      </c>
      <c r="D74" s="166">
        <f t="shared" ca="1" si="3"/>
        <v>699038</v>
      </c>
      <c r="E74" s="166">
        <f t="shared" ca="1" si="3"/>
        <v>143009.5</v>
      </c>
      <c r="F74" s="166">
        <f t="shared" ca="1" si="3"/>
        <v>543890.5</v>
      </c>
      <c r="G74" s="166">
        <f t="shared" ca="1" si="3"/>
        <v>735562.5</v>
      </c>
      <c r="H74" s="166">
        <f t="shared" ca="1" si="3"/>
        <v>788930.5</v>
      </c>
    </row>
    <row r="75" spans="1:8">
      <c r="A75" s="157"/>
      <c r="B75" s="158"/>
      <c r="C75" s="167"/>
    </row>
    <row r="76" spans="1:8">
      <c r="A76" s="70" t="s">
        <v>294</v>
      </c>
      <c r="B76" s="71"/>
      <c r="C76" s="71"/>
      <c r="D76" s="71"/>
    </row>
    <row r="77" spans="1:8" ht="61.5" customHeight="1">
      <c r="A77" s="402" t="s">
        <v>593</v>
      </c>
      <c r="B77" s="403"/>
      <c r="C77" s="403"/>
      <c r="D77" s="403"/>
    </row>
    <row r="78" spans="1:8">
      <c r="A78" s="402" t="s">
        <v>551</v>
      </c>
      <c r="B78" s="403"/>
      <c r="C78" s="403"/>
      <c r="D78" s="403"/>
    </row>
    <row r="79" spans="1:8">
      <c r="A79" s="405" t="s">
        <v>552</v>
      </c>
      <c r="B79" s="406"/>
      <c r="C79" s="406"/>
      <c r="D79" s="406"/>
    </row>
    <row r="80" spans="1:8">
      <c r="A80" s="405" t="s">
        <v>553</v>
      </c>
      <c r="B80" s="406"/>
      <c r="C80" s="406"/>
      <c r="D80" s="406"/>
    </row>
    <row r="81" spans="1:4">
      <c r="A81" s="402" t="s">
        <v>554</v>
      </c>
      <c r="B81" s="403"/>
      <c r="C81" s="403"/>
      <c r="D81" s="403"/>
    </row>
    <row r="82" spans="1:4">
      <c r="A82" s="402" t="s">
        <v>555</v>
      </c>
      <c r="B82" s="403"/>
      <c r="C82" s="403"/>
      <c r="D82" s="403"/>
    </row>
    <row r="83" spans="1:4">
      <c r="A83" s="72" t="s">
        <v>556</v>
      </c>
      <c r="B83" s="73"/>
      <c r="C83" s="73"/>
      <c r="D83" s="73"/>
    </row>
    <row r="84" spans="1:4">
      <c r="A84" s="402" t="s">
        <v>557</v>
      </c>
      <c r="B84" s="403"/>
      <c r="C84" s="403"/>
      <c r="D84" s="403"/>
    </row>
    <row r="85" spans="1:4">
      <c r="A85" s="405" t="s">
        <v>558</v>
      </c>
      <c r="B85" s="406"/>
      <c r="C85" s="406"/>
      <c r="D85" s="406"/>
    </row>
    <row r="86" spans="1:4">
      <c r="A86" s="402" t="s">
        <v>559</v>
      </c>
      <c r="B86" s="403"/>
      <c r="C86" s="403"/>
      <c r="D86" s="403"/>
    </row>
    <row r="87" spans="1:4">
      <c r="A87" s="402" t="s">
        <v>560</v>
      </c>
      <c r="B87" s="403"/>
      <c r="C87" s="403"/>
      <c r="D87" s="403"/>
    </row>
    <row r="88" spans="1:4">
      <c r="A88" s="402" t="s">
        <v>561</v>
      </c>
      <c r="B88" s="403"/>
      <c r="C88" s="403"/>
      <c r="D88" s="403"/>
    </row>
    <row r="89" spans="1:4">
      <c r="A89" s="402" t="s">
        <v>562</v>
      </c>
      <c r="B89" s="403"/>
      <c r="C89" s="403"/>
      <c r="D89" s="403"/>
    </row>
    <row r="90" spans="1:4">
      <c r="A90" s="402" t="s">
        <v>563</v>
      </c>
      <c r="B90" s="403"/>
      <c r="C90" s="403"/>
      <c r="D90" s="403"/>
    </row>
    <row r="91" spans="1:4">
      <c r="A91" s="402" t="s">
        <v>564</v>
      </c>
      <c r="B91" s="403"/>
      <c r="C91" s="403"/>
      <c r="D91" s="403"/>
    </row>
    <row r="92" spans="1:4">
      <c r="A92" s="404" t="s">
        <v>550</v>
      </c>
      <c r="B92" s="404"/>
      <c r="C92" s="404"/>
      <c r="D92" s="404"/>
    </row>
    <row r="93" spans="1:4">
      <c r="A93" s="372"/>
      <c r="B93" s="372"/>
      <c r="C93" s="372"/>
      <c r="D93" s="372"/>
    </row>
  </sheetData>
  <mergeCells count="15">
    <mergeCell ref="A82:D82"/>
    <mergeCell ref="A77:D77"/>
    <mergeCell ref="A78:D78"/>
    <mergeCell ref="A79:D79"/>
    <mergeCell ref="A80:D80"/>
    <mergeCell ref="A81:D81"/>
    <mergeCell ref="A90:D90"/>
    <mergeCell ref="A91:D91"/>
    <mergeCell ref="A92:D92"/>
    <mergeCell ref="A84:D84"/>
    <mergeCell ref="A85:D85"/>
    <mergeCell ref="A86:D86"/>
    <mergeCell ref="A87:D87"/>
    <mergeCell ref="A88:D88"/>
    <mergeCell ref="A89:D89"/>
  </mergeCells>
  <pageMargins left="0.7" right="0.7" top="0.75" bottom="0.75" header="0.3" footer="0.3"/>
  <pageSetup paperSize="9" scale="6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Budžeta_tāme</vt:lpstr>
      <vt:lpstr>Naudas_plūsma</vt:lpstr>
      <vt:lpstr>Naturālie_rādītāji</vt:lpstr>
      <vt:lpstr>PZ_aprēķins</vt:lpstr>
      <vt:lpstr>Bilance</vt:lpstr>
      <vt:lpstr>Ieguldījumu_tāme</vt:lpstr>
      <vt:lpstr>Budžeta_tāme!Print_Area</vt:lpstr>
      <vt:lpstr>Naudas_plūsma!Print_Area</vt:lpstr>
      <vt:lpstr>Naudas_plūsma!Print_Titles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Ilze Daukste</cp:lastModifiedBy>
  <cp:lastPrinted>2020-03-17T13:12:24Z</cp:lastPrinted>
  <dcterms:created xsi:type="dcterms:W3CDTF">2015-06-08T06:33:04Z</dcterms:created>
  <dcterms:modified xsi:type="dcterms:W3CDTF">2020-03-24T14:01:12Z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